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seleva\1 Ценообразование\3 Ценообразование SGN\Расчётные файлы\"/>
    </mc:Choice>
  </mc:AlternateContent>
  <bookViews>
    <workbookView xWindow="0" yWindow="0" windowWidth="28800" windowHeight="11895" tabRatio="901"/>
  </bookViews>
  <sheets>
    <sheet name="РАСЧЕТ" sheetId="6" r:id="rId1"/>
    <sheet name="Спецификация" sheetId="11" r:id="rId2"/>
    <sheet name="ФОТО ВИДОВ ЗАПОЛНЕНИЯ" sheetId="1" state="hidden" r:id="rId3"/>
    <sheet name="Прайс-лист" sheetId="7" state="hidden" r:id="rId4"/>
    <sheet name="Рекомендованные комплекты" sheetId="12" r:id="rId5"/>
    <sheet name="Компл. SG.SGN_ССБЕ (РФ)" sheetId="8" state="hidden" r:id="rId6"/>
  </sheets>
  <definedNames>
    <definedName name="_xlnm._FilterDatabase" localSheetId="5" hidden="1">'Компл. SG.SGN_ССБЕ (РФ)'!$A$8:$G$55</definedName>
    <definedName name="Z_69E37F77_0F0A_4549_A0BD_80262A5262E4_.wvu.PrintArea" localSheetId="0" hidden="1">РАСЧЕТ!$A$1:$AQ$153</definedName>
    <definedName name="Z_69E37F77_0F0A_4549_A0BD_80262A5262E4_.wvu.Rows" localSheetId="0" hidden="1">РАСЧЕТ!$1:$87</definedName>
    <definedName name="выбор">РАСЧЕТ!$I$53</definedName>
    <definedName name="выбор2">РАСЧЕТ!$J$53</definedName>
    <definedName name="выбор3">РАСЧЕТ!$K$53</definedName>
    <definedName name="выбор4">РАСЧЕТ!$L$53</definedName>
    <definedName name="выбор5">РАСЧЕТ!$M$53</definedName>
    <definedName name="выбор6">РАСЧЕТ!$N$53</definedName>
    <definedName name="длина">OFFSET(РАСЧЕТ!$K$57,0,0,COUNTIF(РАСЧЕТ!$K$57:$K$61,"&lt;&gt;-"),1)</definedName>
    <definedName name="_xlnm.Print_Area" localSheetId="0">РАСЧЕТ!$A$1:$N$181</definedName>
    <definedName name="_xlnm.Print_Area" localSheetId="4">'Рекомендованные комплекты'!$A$1:$D$64</definedName>
    <definedName name="_xlnm.Print_Area" localSheetId="1">Спецификация!$A$75:$I$120</definedName>
    <definedName name="_xlnm.Print_Area" localSheetId="2">'ФОТО ВИДОВ ЗАПОЛНЕНИЯ'!$A$1:$N$121</definedName>
    <definedName name="опора">OFFSET(РАСЧЕТ!$B$40,0,0,COUNTIF(РАСЧЕТ!$B$40:$B$45,"&lt;&gt;-"),1)</definedName>
    <definedName name="Фото">OFFSET('ФОТО ВИДОВ ЗАПОЛНЕНИЯ'!$C$2,MATCH(выбор,Фотоальбом,0)-1,0,1,1)</definedName>
    <definedName name="фото2">OFFSET('ФОТО ВИДОВ ЗАПОЛНЕНИЯ'!$C$8,MATCH(выбор2,фотоальбом2,0)-1,0,1,1)</definedName>
    <definedName name="фото3">OFFSET('ФОТО ВИДОВ ЗАПОЛНЕНИЯ'!$C$14,MATCH(выбор3,фотоальбом3,0)-1,0,1,1)</definedName>
    <definedName name="фото4">OFFSET('ФОТО ВИДОВ ЗАПОЛНЕНИЯ'!$C$8,MATCH(выбор4,фотоальбом2,0)-1,0,1,1)</definedName>
    <definedName name="фото5">OFFSET('ФОТО ВИДОВ ЗАПОЛНЕНИЯ'!$C$20,MATCH(выбор5,фотоальбом5,0)-1,0,1,1)</definedName>
    <definedName name="фото6">OFFSET('ФОТО ВИДОВ ЗАПОЛНЕНИЯ'!$C$23,MATCH(выбор6,фотоальбом6,0)-1,0,1,1)</definedName>
    <definedName name="Фотоальбом">'ФОТО ВИДОВ ЗАПОЛНЕНИЯ'!$B$2:$B$3</definedName>
    <definedName name="фотоальбом2">'ФОТО ВИДОВ ЗАПОЛНЕНИЯ'!$B$8:$B$11</definedName>
    <definedName name="фотоальбом3">'ФОТО ВИДОВ ЗАПОЛНЕНИЯ'!$B$14:$B$18</definedName>
    <definedName name="фотоальбом5">'ФОТО ВИДОВ ЗАПОЛНЕНИЯ'!$B$20:$B$21</definedName>
    <definedName name="фотоальбом6">'ФОТО ВИДОВ ЗАПОЛНЕНИЯ'!$B$23:$B$26</definedName>
  </definedNames>
  <calcPr calcId="162913"/>
  <customWorkbookViews>
    <customWorkbookView name="Откатка" guid="{69E37F77-0F0A-4549-A0BD-80262A5262E4}" maximized="1" xWindow="1" yWindow="1" windowWidth="1360" windowHeight="508" tabRatio="759" activeSheetId="6"/>
  </customWorkbookViews>
</workbook>
</file>

<file path=xl/calcChain.xml><?xml version="1.0" encoding="utf-8"?>
<calcChain xmlns="http://schemas.openxmlformats.org/spreadsheetml/2006/main">
  <c r="E104" i="6" l="1"/>
  <c r="F27" i="11" l="1"/>
  <c r="D27" i="11"/>
  <c r="G27" i="11" s="1"/>
  <c r="D28" i="11"/>
  <c r="E28" i="11" s="1"/>
  <c r="C27" i="11"/>
  <c r="B19" i="6"/>
  <c r="D18" i="6"/>
  <c r="D24" i="6"/>
  <c r="E112" i="6"/>
  <c r="G44" i="7"/>
  <c r="H27" i="11" l="1"/>
  <c r="E27" i="11"/>
  <c r="B27" i="11"/>
  <c r="G48" i="7"/>
  <c r="G53" i="7" l="1"/>
  <c r="G49" i="7"/>
  <c r="G45" i="7"/>
  <c r="G54" i="7"/>
  <c r="G50" i="7"/>
  <c r="G46" i="7"/>
  <c r="G55" i="7"/>
  <c r="G51" i="7"/>
  <c r="G47" i="7"/>
  <c r="G56" i="7"/>
  <c r="G52" i="7"/>
  <c r="N53" i="6"/>
  <c r="G6" i="7"/>
  <c r="G39" i="7" s="1"/>
  <c r="B60" i="11"/>
  <c r="C60" i="11"/>
  <c r="D60" i="11"/>
  <c r="F60" i="11"/>
  <c r="G60" i="11"/>
  <c r="H60" i="11"/>
  <c r="F10" i="11"/>
  <c r="F12" i="11"/>
  <c r="F15" i="11"/>
  <c r="F22" i="11"/>
  <c r="F23" i="11"/>
  <c r="F29" i="11"/>
  <c r="F37" i="11"/>
  <c r="F38" i="11"/>
  <c r="F39" i="11"/>
  <c r="F40" i="11"/>
  <c r="D10" i="11"/>
  <c r="E10" i="11" s="1"/>
  <c r="D11" i="11"/>
  <c r="E11" i="11" s="1"/>
  <c r="D20" i="11"/>
  <c r="E20" i="11" s="1"/>
  <c r="D21" i="11"/>
  <c r="E21" i="11" s="1"/>
  <c r="D22" i="11"/>
  <c r="D24" i="11"/>
  <c r="G24" i="11" s="1"/>
  <c r="D25" i="11"/>
  <c r="D26" i="11"/>
  <c r="B26" i="11" s="1"/>
  <c r="D30" i="11"/>
  <c r="D31" i="11"/>
  <c r="D32" i="11"/>
  <c r="D33" i="11"/>
  <c r="D34" i="11"/>
  <c r="D35" i="11"/>
  <c r="D36" i="11"/>
  <c r="B36" i="11" s="1"/>
  <c r="D37" i="11"/>
  <c r="G37" i="11" s="1"/>
  <c r="D38" i="11"/>
  <c r="G38" i="11" s="1"/>
  <c r="D39" i="11"/>
  <c r="B39" i="11" s="1"/>
  <c r="D40" i="11"/>
  <c r="B40" i="11" s="1"/>
  <c r="B11" i="11"/>
  <c r="B25" i="11"/>
  <c r="B28" i="11"/>
  <c r="B32" i="11"/>
  <c r="C39" i="11"/>
  <c r="C40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8" i="11"/>
  <c r="C29" i="11"/>
  <c r="C30" i="11"/>
  <c r="C31" i="11"/>
  <c r="C32" i="11"/>
  <c r="C33" i="11"/>
  <c r="C34" i="11"/>
  <c r="C35" i="11"/>
  <c r="C36" i="11"/>
  <c r="C37" i="11"/>
  <c r="C38" i="11"/>
  <c r="A112" i="6"/>
  <c r="B37" i="11" l="1"/>
  <c r="B33" i="11"/>
  <c r="B31" i="11"/>
  <c r="B21" i="11"/>
  <c r="G36" i="11"/>
  <c r="B35" i="11"/>
  <c r="G8" i="7"/>
  <c r="G9" i="7"/>
  <c r="G10" i="7"/>
  <c r="G11" i="7"/>
  <c r="G14" i="7"/>
  <c r="G40" i="7"/>
  <c r="G26" i="11" s="1"/>
  <c r="E37" i="11"/>
  <c r="E33" i="11"/>
  <c r="E24" i="11"/>
  <c r="G21" i="11"/>
  <c r="G20" i="11"/>
  <c r="E38" i="11"/>
  <c r="E34" i="11"/>
  <c r="E30" i="11"/>
  <c r="E25" i="11"/>
  <c r="G25" i="11"/>
  <c r="H37" i="11"/>
  <c r="B70" i="11" s="1"/>
  <c r="E39" i="11"/>
  <c r="E35" i="11"/>
  <c r="E31" i="11"/>
  <c r="E26" i="11"/>
  <c r="G39" i="11"/>
  <c r="H39" i="11" s="1"/>
  <c r="H38" i="11"/>
  <c r="D71" i="11" s="1"/>
  <c r="E40" i="11"/>
  <c r="E36" i="11"/>
  <c r="E32" i="11"/>
  <c r="G40" i="11"/>
  <c r="H40" i="11" s="1"/>
  <c r="G13" i="7"/>
  <c r="H70" i="11"/>
  <c r="B38" i="11"/>
  <c r="B34" i="11"/>
  <c r="B30" i="11"/>
  <c r="B24" i="11"/>
  <c r="B20" i="11"/>
  <c r="B10" i="11"/>
  <c r="G71" i="11" l="1"/>
  <c r="F71" i="11"/>
  <c r="H71" i="11"/>
  <c r="C71" i="11"/>
  <c r="B71" i="11"/>
  <c r="D70" i="11"/>
  <c r="G70" i="11"/>
  <c r="F70" i="11"/>
  <c r="C70" i="11"/>
  <c r="D73" i="11"/>
  <c r="F73" i="11"/>
  <c r="C73" i="11"/>
  <c r="B73" i="11"/>
  <c r="H73" i="11"/>
  <c r="G73" i="11"/>
  <c r="B72" i="11"/>
  <c r="D72" i="11"/>
  <c r="C72" i="11"/>
  <c r="H72" i="11"/>
  <c r="F72" i="11"/>
  <c r="G72" i="11"/>
  <c r="D55" i="11"/>
  <c r="F55" i="11"/>
  <c r="C55" i="11"/>
  <c r="B55" i="11"/>
  <c r="H55" i="11"/>
  <c r="G55" i="11"/>
  <c r="D19" i="11"/>
  <c r="D23" i="6"/>
  <c r="F28" i="11" s="1"/>
  <c r="D13" i="6"/>
  <c r="F18" i="11" s="1"/>
  <c r="B13" i="6"/>
  <c r="D18" i="11" s="1"/>
  <c r="D11" i="6"/>
  <c r="D9" i="6"/>
  <c r="F14" i="11" s="1"/>
  <c r="F13" i="11"/>
  <c r="B7" i="6"/>
  <c r="D12" i="11" s="1"/>
  <c r="E12" i="11" s="1"/>
  <c r="D6" i="6"/>
  <c r="F11" i="11" s="1"/>
  <c r="E18" i="11" l="1"/>
  <c r="B18" i="11"/>
  <c r="G19" i="11"/>
  <c r="B19" i="11"/>
  <c r="E19" i="11"/>
  <c r="B12" i="11"/>
  <c r="D12" i="6"/>
  <c r="F17" i="11" s="1"/>
  <c r="F16" i="11"/>
  <c r="E110" i="6" l="1"/>
  <c r="E116" i="6"/>
  <c r="C77" i="6"/>
  <c r="D25" i="6" l="1"/>
  <c r="F30" i="11" s="1"/>
  <c r="D28" i="6"/>
  <c r="F33" i="11" s="1"/>
  <c r="L70" i="6"/>
  <c r="E100" i="6" s="1"/>
  <c r="E102" i="6" s="1"/>
  <c r="L68" i="6"/>
  <c r="D26" i="6"/>
  <c r="F31" i="11" s="1"/>
  <c r="G35" i="11"/>
  <c r="G34" i="11"/>
  <c r="G33" i="11"/>
  <c r="G32" i="11"/>
  <c r="G31" i="11"/>
  <c r="G30" i="11"/>
  <c r="G28" i="11"/>
  <c r="H28" i="11" s="1"/>
  <c r="G38" i="7"/>
  <c r="G37" i="7"/>
  <c r="G36" i="7"/>
  <c r="G35" i="7"/>
  <c r="G34" i="7"/>
  <c r="G10" i="11" s="1"/>
  <c r="H10" i="11" s="1"/>
  <c r="G33" i="7"/>
  <c r="G11" i="11" s="1"/>
  <c r="H11" i="11" s="1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2" i="11" s="1"/>
  <c r="H12" i="11" s="1"/>
  <c r="G17" i="7"/>
  <c r="G16" i="7"/>
  <c r="G15" i="7"/>
  <c r="M53" i="6"/>
  <c r="H33" i="11" l="1"/>
  <c r="G66" i="11" s="1"/>
  <c r="G18" i="11"/>
  <c r="H18" i="11" s="1"/>
  <c r="D51" i="11" s="1"/>
  <c r="D61" i="11"/>
  <c r="H61" i="11"/>
  <c r="G61" i="11"/>
  <c r="C61" i="11"/>
  <c r="B61" i="11"/>
  <c r="F61" i="11"/>
  <c r="H31" i="11"/>
  <c r="B64" i="11" s="1"/>
  <c r="H30" i="11"/>
  <c r="D63" i="11" s="1"/>
  <c r="B45" i="11"/>
  <c r="C45" i="11"/>
  <c r="F45" i="11"/>
  <c r="G45" i="11"/>
  <c r="H45" i="11"/>
  <c r="D45" i="11"/>
  <c r="D43" i="11"/>
  <c r="C43" i="11"/>
  <c r="G43" i="11"/>
  <c r="H43" i="11"/>
  <c r="F43" i="11"/>
  <c r="B43" i="11"/>
  <c r="F44" i="11"/>
  <c r="G44" i="11"/>
  <c r="H44" i="11"/>
  <c r="B44" i="11"/>
  <c r="C44" i="11"/>
  <c r="D44" i="11"/>
  <c r="B44" i="6"/>
  <c r="B43" i="6"/>
  <c r="B40" i="6"/>
  <c r="B42" i="6"/>
  <c r="B41" i="6"/>
  <c r="B45" i="6"/>
  <c r="D27" i="6"/>
  <c r="F32" i="11" s="1"/>
  <c r="H32" i="11" s="1"/>
  <c r="G64" i="11" l="1"/>
  <c r="F66" i="11"/>
  <c r="H64" i="11"/>
  <c r="C66" i="11"/>
  <c r="B66" i="11"/>
  <c r="D64" i="11"/>
  <c r="B63" i="11"/>
  <c r="H51" i="11"/>
  <c r="F63" i="11"/>
  <c r="C63" i="11"/>
  <c r="C51" i="11"/>
  <c r="F51" i="11"/>
  <c r="H66" i="11"/>
  <c r="D66" i="11"/>
  <c r="C64" i="11"/>
  <c r="F64" i="11"/>
  <c r="G63" i="11"/>
  <c r="H63" i="11"/>
  <c r="G51" i="11"/>
  <c r="B51" i="11"/>
  <c r="D65" i="11"/>
  <c r="C65" i="11"/>
  <c r="H65" i="11"/>
  <c r="B65" i="11"/>
  <c r="G65" i="11"/>
  <c r="F65" i="11"/>
  <c r="D29" i="6"/>
  <c r="F34" i="11" s="1"/>
  <c r="H34" i="11" s="1"/>
  <c r="D30" i="6"/>
  <c r="F35" i="11" s="1"/>
  <c r="H35" i="11" s="1"/>
  <c r="D31" i="6"/>
  <c r="F36" i="11" s="1"/>
  <c r="H36" i="11" s="1"/>
  <c r="K53" i="6"/>
  <c r="J53" i="6"/>
  <c r="L53" i="6" s="1"/>
  <c r="D67" i="11" l="1"/>
  <c r="C67" i="11"/>
  <c r="H67" i="11"/>
  <c r="B67" i="11"/>
  <c r="G67" i="11"/>
  <c r="F67" i="11"/>
  <c r="B68" i="11"/>
  <c r="G68" i="11"/>
  <c r="F68" i="11"/>
  <c r="D68" i="11"/>
  <c r="C68" i="11"/>
  <c r="H68" i="11"/>
  <c r="D69" i="11"/>
  <c r="C69" i="11"/>
  <c r="H69" i="11"/>
  <c r="B69" i="11"/>
  <c r="G69" i="11"/>
  <c r="F69" i="11"/>
  <c r="F161" i="6"/>
  <c r="K89" i="6" l="1"/>
  <c r="E122" i="6" l="1"/>
  <c r="B18" i="6"/>
  <c r="D23" i="11" s="1"/>
  <c r="E48" i="6"/>
  <c r="B11" i="6"/>
  <c r="D16" i="11" s="1"/>
  <c r="B9" i="6"/>
  <c r="D14" i="11" s="1"/>
  <c r="B24" i="6"/>
  <c r="D29" i="11" s="1"/>
  <c r="B12" i="6"/>
  <c r="D17" i="11" s="1"/>
  <c r="B10" i="6"/>
  <c r="D15" i="11" s="1"/>
  <c r="D13" i="11"/>
  <c r="L57" i="6"/>
  <c r="L58" i="6"/>
  <c r="L60" i="6"/>
  <c r="L59" i="6"/>
  <c r="L61" i="6"/>
  <c r="A118" i="6"/>
  <c r="E108" i="6"/>
  <c r="L76" i="6"/>
  <c r="C164" i="6" s="1"/>
  <c r="L74" i="6"/>
  <c r="D164" i="6" s="1"/>
  <c r="L72" i="6"/>
  <c r="L164" i="6" s="1"/>
  <c r="L66" i="6"/>
  <c r="M78" i="6" s="1"/>
  <c r="L78" i="6" s="1"/>
  <c r="E124" i="6" s="1"/>
  <c r="AC137" i="6"/>
  <c r="B23" i="11" l="1"/>
  <c r="G23" i="11"/>
  <c r="H23" i="11" s="1"/>
  <c r="E23" i="11"/>
  <c r="E17" i="11"/>
  <c r="G17" i="11"/>
  <c r="H17" i="11" s="1"/>
  <c r="E16" i="11"/>
  <c r="G16" i="11"/>
  <c r="H16" i="11" s="1"/>
  <c r="E15" i="11"/>
  <c r="G15" i="11"/>
  <c r="H15" i="11" s="1"/>
  <c r="E14" i="11"/>
  <c r="G14" i="11"/>
  <c r="H14" i="11" s="1"/>
  <c r="E13" i="11"/>
  <c r="G13" i="11"/>
  <c r="H13" i="11" s="1"/>
  <c r="G29" i="11"/>
  <c r="H29" i="11" s="1"/>
  <c r="E29" i="11"/>
  <c r="B17" i="11"/>
  <c r="B15" i="11"/>
  <c r="B16" i="11"/>
  <c r="B13" i="11"/>
  <c r="B14" i="11"/>
  <c r="B29" i="11"/>
  <c r="B4" i="6"/>
  <c r="L80" i="6"/>
  <c r="D19" i="6" s="1"/>
  <c r="B56" i="11" l="1"/>
  <c r="F56" i="11"/>
  <c r="H56" i="11"/>
  <c r="C56" i="11"/>
  <c r="G56" i="11"/>
  <c r="D56" i="11"/>
  <c r="D20" i="6"/>
  <c r="F24" i="11"/>
  <c r="H24" i="11" s="1"/>
  <c r="F19" i="11"/>
  <c r="H19" i="11" s="1"/>
  <c r="D47" i="11"/>
  <c r="C47" i="11"/>
  <c r="H47" i="11"/>
  <c r="B47" i="11"/>
  <c r="G47" i="11"/>
  <c r="F47" i="11"/>
  <c r="D49" i="11"/>
  <c r="C49" i="11"/>
  <c r="H49" i="11"/>
  <c r="B49" i="11"/>
  <c r="G49" i="11"/>
  <c r="F49" i="11"/>
  <c r="B50" i="11"/>
  <c r="G50" i="11"/>
  <c r="F50" i="11"/>
  <c r="D50" i="11"/>
  <c r="C50" i="11"/>
  <c r="H50" i="11"/>
  <c r="B48" i="11"/>
  <c r="G48" i="11"/>
  <c r="F48" i="11"/>
  <c r="D48" i="11"/>
  <c r="C48" i="11"/>
  <c r="H48" i="11"/>
  <c r="B62" i="11"/>
  <c r="G62" i="11"/>
  <c r="F62" i="11"/>
  <c r="D62" i="11"/>
  <c r="C62" i="11"/>
  <c r="H62" i="11"/>
  <c r="H113" i="11" s="1"/>
  <c r="B46" i="11"/>
  <c r="G46" i="11"/>
  <c r="F46" i="11"/>
  <c r="D46" i="11"/>
  <c r="C46" i="11"/>
  <c r="H46" i="11"/>
  <c r="D4" i="6"/>
  <c r="F9" i="11" s="1"/>
  <c r="D9" i="11"/>
  <c r="C4" i="6"/>
  <c r="C9" i="11" s="1"/>
  <c r="K61" i="6"/>
  <c r="K58" i="6"/>
  <c r="K60" i="6"/>
  <c r="K59" i="6"/>
  <c r="K57" i="6"/>
  <c r="E98" i="6"/>
  <c r="C161" i="6"/>
  <c r="L82" i="6"/>
  <c r="F165" i="6"/>
  <c r="D21" i="6" l="1"/>
  <c r="F26" i="11" s="1"/>
  <c r="H26" i="11" s="1"/>
  <c r="F25" i="11"/>
  <c r="H25" i="11" s="1"/>
  <c r="D57" i="11"/>
  <c r="G57" i="11"/>
  <c r="C57" i="11"/>
  <c r="B57" i="11"/>
  <c r="H57" i="11"/>
  <c r="F57" i="11"/>
  <c r="B52" i="11"/>
  <c r="G52" i="11"/>
  <c r="H52" i="11"/>
  <c r="D52" i="11"/>
  <c r="F52" i="11"/>
  <c r="C52" i="11"/>
  <c r="F20" i="11"/>
  <c r="H20" i="11" s="1"/>
  <c r="F21" i="11"/>
  <c r="H21" i="11" s="1"/>
  <c r="G9" i="11"/>
  <c r="H9" i="11" s="1"/>
  <c r="E9" i="11"/>
  <c r="B9" i="11"/>
  <c r="C134" i="6"/>
  <c r="F59" i="11" l="1"/>
  <c r="G59" i="11"/>
  <c r="H59" i="11"/>
  <c r="D59" i="11"/>
  <c r="B59" i="11"/>
  <c r="C59" i="11"/>
  <c r="B58" i="11"/>
  <c r="G58" i="11"/>
  <c r="F58" i="11"/>
  <c r="H58" i="11"/>
  <c r="C58" i="11"/>
  <c r="D58" i="11"/>
  <c r="D53" i="11"/>
  <c r="C53" i="11"/>
  <c r="H53" i="11"/>
  <c r="F53" i="11"/>
  <c r="B53" i="11"/>
  <c r="G53" i="11"/>
  <c r="G54" i="11"/>
  <c r="C54" i="11"/>
  <c r="B54" i="11"/>
  <c r="D54" i="11"/>
  <c r="F54" i="11"/>
  <c r="H54" i="11"/>
  <c r="C42" i="11"/>
  <c r="H42" i="11"/>
  <c r="G42" i="11"/>
  <c r="F42" i="11"/>
  <c r="D42" i="11"/>
  <c r="B42" i="11"/>
  <c r="H83" i="11" a="1"/>
  <c r="G79" i="11" a="1"/>
  <c r="D80" i="11" a="1"/>
  <c r="D105" i="11" a="1"/>
  <c r="H98" i="11" a="1"/>
  <c r="B84" i="11" a="1"/>
  <c r="G86" i="11" a="1"/>
  <c r="F104" i="11" a="1"/>
  <c r="D96" i="11" a="1"/>
  <c r="F88" i="11" a="1"/>
  <c r="C92" i="11" a="1"/>
  <c r="C106" i="11" a="1"/>
  <c r="B100" i="11" a="1"/>
  <c r="D88" i="11" a="1"/>
  <c r="B108" i="11" a="1"/>
  <c r="D81" i="11" a="1"/>
  <c r="C109" i="11" a="1"/>
  <c r="G77" i="11" a="1"/>
  <c r="F81" i="11" a="1"/>
  <c r="F105" i="11" a="1"/>
  <c r="H82" i="11" a="1"/>
  <c r="H90" i="11" a="1"/>
  <c r="B93" i="11" a="1"/>
  <c r="C93" i="11" a="1"/>
  <c r="B92" i="11" a="1"/>
  <c r="G94" i="11" a="1"/>
  <c r="G78" i="11" a="1"/>
  <c r="G102" i="11" a="1"/>
  <c r="G87" i="11" a="1"/>
  <c r="F96" i="11" a="1"/>
  <c r="D89" i="11" a="1"/>
  <c r="F97" i="11" a="1"/>
  <c r="H99" i="11" a="1"/>
  <c r="C96" i="11" a="1"/>
  <c r="H107" i="11" a="1"/>
  <c r="C97" i="11" a="1"/>
  <c r="C100" i="11" a="1"/>
  <c r="B101" i="11" a="1"/>
  <c r="C85" i="11" a="1"/>
  <c r="C101" i="11" a="1"/>
  <c r="G103" i="11" a="1"/>
  <c r="B85" i="11" a="1"/>
  <c r="F89" i="11" a="1"/>
  <c r="D104" i="11" a="1"/>
  <c r="C81" i="11" a="1"/>
  <c r="B109" i="11" a="1"/>
  <c r="C84" i="11" a="1"/>
  <c r="F80" i="11" a="1"/>
  <c r="C105" i="11" a="1"/>
  <c r="C80" i="11" a="1"/>
  <c r="C89" i="11" a="1"/>
  <c r="H91" i="11" a="1"/>
  <c r="C88" i="11" a="1"/>
  <c r="H106" i="11" a="1"/>
  <c r="D97" i="11" a="1"/>
  <c r="G95" i="11" a="1"/>
  <c r="H110" i="11" l="1"/>
  <c r="H116" i="11" s="1"/>
  <c r="H118" i="11" s="1"/>
  <c r="C81" i="11"/>
  <c r="C85" i="11"/>
  <c r="C89" i="11"/>
  <c r="C93" i="11"/>
  <c r="C97" i="11"/>
  <c r="C101" i="11"/>
  <c r="C105" i="11"/>
  <c r="C109" i="11"/>
  <c r="C80" i="11"/>
  <c r="C84" i="11"/>
  <c r="C88" i="11"/>
  <c r="C92" i="11"/>
  <c r="C96" i="11"/>
  <c r="C100" i="11"/>
  <c r="C106" i="11"/>
  <c r="D80" i="11"/>
  <c r="D88" i="11"/>
  <c r="D96" i="11"/>
  <c r="D104" i="11"/>
  <c r="D81" i="11"/>
  <c r="D89" i="11"/>
  <c r="D97" i="11"/>
  <c r="D105" i="11"/>
  <c r="G79" i="11"/>
  <c r="G87" i="11"/>
  <c r="G95" i="11"/>
  <c r="G103" i="11"/>
  <c r="G78" i="11"/>
  <c r="G86" i="11"/>
  <c r="G94" i="11"/>
  <c r="G102" i="11"/>
  <c r="G77" i="11"/>
  <c r="B85" i="11"/>
  <c r="B93" i="11"/>
  <c r="B101" i="11"/>
  <c r="B109" i="11"/>
  <c r="B84" i="11"/>
  <c r="B92" i="11"/>
  <c r="B100" i="11"/>
  <c r="B108" i="11"/>
  <c r="H83" i="11"/>
  <c r="H91" i="11"/>
  <c r="H99" i="11"/>
  <c r="H107" i="11"/>
  <c r="H82" i="11"/>
  <c r="H90" i="11"/>
  <c r="H98" i="11"/>
  <c r="H106" i="11"/>
  <c r="F80" i="11"/>
  <c r="F88" i="11"/>
  <c r="F96" i="11"/>
  <c r="F104" i="11"/>
  <c r="F81" i="11"/>
  <c r="F89" i="11"/>
  <c r="F97" i="11"/>
  <c r="F105" i="11"/>
  <c r="H95" i="11" a="1"/>
  <c r="H109" i="11" a="1"/>
  <c r="B91" i="11" a="1"/>
  <c r="C95" i="11" a="1"/>
  <c r="H88" i="11" a="1"/>
  <c r="F87" i="11" a="1"/>
  <c r="H84" i="11" a="1"/>
  <c r="C99" i="11" a="1"/>
  <c r="D92" i="11" a="1"/>
  <c r="B105" i="11" a="1"/>
  <c r="H81" i="11" a="1"/>
  <c r="F101" i="11" a="1"/>
  <c r="B77" i="11" a="1"/>
  <c r="C77" i="11" a="1"/>
  <c r="B86" i="11" a="1"/>
  <c r="H97" i="11" a="1"/>
  <c r="F84" i="11" a="1"/>
  <c r="H87" i="11" a="1"/>
  <c r="D79" i="11" a="1"/>
  <c r="F94" i="11" a="1"/>
  <c r="G97" i="11" a="1"/>
  <c r="D98" i="11" a="1"/>
  <c r="H92" i="11" a="1"/>
  <c r="D87" i="11" a="1"/>
  <c r="D93" i="11" a="1"/>
  <c r="G105" i="11" a="1"/>
  <c r="B107" i="11" a="1"/>
  <c r="G85" i="11" a="1"/>
  <c r="F107" i="11" a="1"/>
  <c r="B80" i="11" a="1"/>
  <c r="D94" i="11" a="1"/>
  <c r="H80" i="11" a="1"/>
  <c r="G101" i="11" a="1"/>
  <c r="H105" i="11" a="1"/>
  <c r="G80" i="11" a="1"/>
  <c r="H96" i="11" a="1"/>
  <c r="F108" i="11" a="1"/>
  <c r="F82" i="11" a="1"/>
  <c r="H79" i="11" a="1"/>
  <c r="F85" i="11" a="1"/>
  <c r="F98" i="11" a="1"/>
  <c r="B79" i="11" a="1"/>
  <c r="D100" i="11" a="1"/>
  <c r="B89" i="11" a="1"/>
  <c r="H108" i="11" a="1"/>
  <c r="F95" i="11" a="1"/>
  <c r="G96" i="11" a="1"/>
  <c r="C91" i="11" a="1"/>
  <c r="G99" i="11" a="1"/>
  <c r="F78" i="11" a="1"/>
  <c r="G81" i="11" a="1"/>
  <c r="B106" i="11" a="1"/>
  <c r="B83" i="11" a="1"/>
  <c r="G91" i="11" a="1"/>
  <c r="G89" i="11" a="1"/>
  <c r="H86" i="11" a="1"/>
  <c r="F92" i="11" a="1"/>
  <c r="C87" i="11" a="1"/>
  <c r="D109" i="11" a="1"/>
  <c r="F91" i="11" a="1"/>
  <c r="H103" i="11" a="1"/>
  <c r="G107" i="11" a="1"/>
  <c r="D91" i="11" a="1"/>
  <c r="H77" i="11" a="1"/>
  <c r="C86" i="11" a="1"/>
  <c r="G90" i="11" a="1"/>
  <c r="C79" i="11" a="1"/>
  <c r="B97" i="11" a="1"/>
  <c r="F109" i="11" a="1"/>
  <c r="G92" i="11" a="1"/>
  <c r="G100" i="11" a="1"/>
  <c r="C90" i="11" a="1"/>
  <c r="H89" i="11" a="1"/>
  <c r="H102" i="11" a="1"/>
  <c r="D101" i="11" a="1"/>
  <c r="C103" i="11" a="1"/>
  <c r="D83" i="11" a="1"/>
  <c r="B78" i="11" a="1"/>
  <c r="C94" i="11" a="1"/>
  <c r="D77" i="11" a="1"/>
  <c r="G108" i="11" a="1"/>
  <c r="H94" i="11" a="1"/>
  <c r="B98" i="11" a="1"/>
  <c r="G106" i="11" a="1"/>
  <c r="B102" i="11" a="1"/>
  <c r="G109" i="11" a="1"/>
  <c r="F86" i="11" a="1"/>
  <c r="B95" i="11" a="1"/>
  <c r="B103" i="11" a="1"/>
  <c r="F90" i="11" a="1"/>
  <c r="G98" i="11" a="1"/>
  <c r="D85" i="11" a="1"/>
  <c r="D95" i="11" a="1"/>
  <c r="G88" i="11" a="1"/>
  <c r="F106" i="11" a="1"/>
  <c r="H78" i="11" a="1"/>
  <c r="D84" i="11" a="1"/>
  <c r="D103" i="11" a="1"/>
  <c r="F83" i="11" a="1"/>
  <c r="F103" i="11" a="1"/>
  <c r="B90" i="11" a="1"/>
  <c r="G84" i="11" a="1"/>
  <c r="G83" i="11" a="1"/>
  <c r="H93" i="11" a="1"/>
  <c r="F77" i="11" a="1"/>
  <c r="B96" i="11" a="1"/>
  <c r="B81" i="11" a="1"/>
  <c r="H101" i="11" a="1"/>
  <c r="C82" i="11" a="1"/>
  <c r="D86" i="11" a="1"/>
  <c r="D90" i="11" a="1"/>
  <c r="G82" i="11" a="1"/>
  <c r="B88" i="11" a="1"/>
  <c r="C107" i="11" a="1"/>
  <c r="B94" i="11" a="1"/>
  <c r="D102" i="11" a="1"/>
  <c r="D99" i="11" a="1"/>
  <c r="F99" i="11" a="1"/>
  <c r="C78" i="11" a="1"/>
  <c r="H85" i="11" a="1"/>
  <c r="F100" i="11" a="1"/>
  <c r="G93" i="11" a="1"/>
  <c r="D107" i="11" a="1"/>
  <c r="D82" i="11" a="1"/>
  <c r="H104" i="11" a="1"/>
  <c r="C102" i="11" a="1"/>
  <c r="D106" i="11" a="1"/>
  <c r="F102" i="11" a="1"/>
  <c r="B104" i="11" a="1"/>
  <c r="C108" i="11" a="1"/>
  <c r="F93" i="11" a="1"/>
  <c r="B82" i="11" a="1"/>
  <c r="F79" i="11" a="1"/>
  <c r="H100" i="11" a="1"/>
  <c r="C83" i="11" a="1"/>
  <c r="D108" i="11" a="1"/>
  <c r="B87" i="11" a="1"/>
  <c r="B99" i="11" a="1"/>
  <c r="C98" i="11" a="1"/>
  <c r="C104" i="11" a="1"/>
  <c r="G104" i="11" a="1"/>
  <c r="D78" i="11" a="1"/>
  <c r="G100" i="11" l="1"/>
  <c r="D78" i="11"/>
  <c r="G92" i="11"/>
  <c r="G104" i="11"/>
  <c r="F109" i="11"/>
  <c r="C104" i="11"/>
  <c r="B97" i="11"/>
  <c r="C98" i="11"/>
  <c r="C79" i="11"/>
  <c r="B99" i="11"/>
  <c r="G90" i="11"/>
  <c r="B87" i="11"/>
  <c r="C86" i="11"/>
  <c r="D108" i="11"/>
  <c r="H77" i="11"/>
  <c r="C83" i="11"/>
  <c r="D91" i="11"/>
  <c r="H100" i="11"/>
  <c r="G107" i="11"/>
  <c r="F79" i="11"/>
  <c r="H103" i="11"/>
  <c r="B82" i="11"/>
  <c r="F91" i="11"/>
  <c r="F93" i="11"/>
  <c r="D109" i="11"/>
  <c r="C108" i="11"/>
  <c r="C87" i="11"/>
  <c r="B104" i="11"/>
  <c r="F92" i="11"/>
  <c r="F102" i="11"/>
  <c r="H86" i="11"/>
  <c r="D106" i="11"/>
  <c r="G89" i="11"/>
  <c r="C102" i="11"/>
  <c r="G91" i="11"/>
  <c r="H104" i="11"/>
  <c r="B83" i="11"/>
  <c r="D82" i="11"/>
  <c r="B106" i="11"/>
  <c r="D107" i="11"/>
  <c r="G81" i="11"/>
  <c r="G93" i="11"/>
  <c r="F78" i="11"/>
  <c r="F100" i="11"/>
  <c r="G99" i="11"/>
  <c r="H85" i="11"/>
  <c r="C91" i="11"/>
  <c r="C78" i="11"/>
  <c r="G96" i="11"/>
  <c r="F99" i="11"/>
  <c r="F95" i="11"/>
  <c r="D99" i="11"/>
  <c r="H108" i="11"/>
  <c r="D102" i="11"/>
  <c r="B89" i="11"/>
  <c r="B94" i="11"/>
  <c r="D100" i="11"/>
  <c r="C107" i="11"/>
  <c r="B79" i="11"/>
  <c r="B88" i="11"/>
  <c r="F98" i="11"/>
  <c r="G82" i="11"/>
  <c r="F85" i="11"/>
  <c r="D90" i="11"/>
  <c r="H79" i="11"/>
  <c r="D86" i="11"/>
  <c r="F82" i="11"/>
  <c r="C82" i="11"/>
  <c r="F108" i="11"/>
  <c r="H101" i="11"/>
  <c r="H96" i="11"/>
  <c r="B81" i="11"/>
  <c r="G80" i="11"/>
  <c r="B96" i="11"/>
  <c r="H105" i="11"/>
  <c r="F77" i="11"/>
  <c r="G101" i="11"/>
  <c r="H93" i="11"/>
  <c r="H80" i="11"/>
  <c r="G83" i="11"/>
  <c r="D94" i="11"/>
  <c r="G84" i="11"/>
  <c r="B80" i="11"/>
  <c r="B90" i="11"/>
  <c r="F107" i="11"/>
  <c r="F103" i="11"/>
  <c r="G85" i="11"/>
  <c r="F83" i="11"/>
  <c r="B107" i="11"/>
  <c r="D103" i="11"/>
  <c r="G105" i="11"/>
  <c r="D84" i="11"/>
  <c r="D93" i="11"/>
  <c r="H78" i="11"/>
  <c r="D87" i="11"/>
  <c r="F106" i="11"/>
  <c r="H92" i="11"/>
  <c r="G88" i="11"/>
  <c r="D98" i="11"/>
  <c r="D95" i="11"/>
  <c r="G97" i="11"/>
  <c r="D85" i="11"/>
  <c r="F94" i="11"/>
  <c r="G98" i="11"/>
  <c r="D79" i="11"/>
  <c r="F90" i="11"/>
  <c r="H87" i="11"/>
  <c r="B103" i="11"/>
  <c r="F84" i="11"/>
  <c r="B95" i="11"/>
  <c r="H97" i="11"/>
  <c r="F86" i="11"/>
  <c r="B86" i="11"/>
  <c r="G109" i="11"/>
  <c r="C77" i="11"/>
  <c r="B102" i="11"/>
  <c r="B77" i="11"/>
  <c r="G106" i="11"/>
  <c r="F101" i="11"/>
  <c r="B98" i="11"/>
  <c r="H81" i="11"/>
  <c r="H94" i="11"/>
  <c r="B105" i="11"/>
  <c r="G108" i="11"/>
  <c r="D92" i="11"/>
  <c r="D77" i="11"/>
  <c r="C99" i="11"/>
  <c r="C94" i="11"/>
  <c r="H84" i="11"/>
  <c r="B78" i="11"/>
  <c r="F87" i="11"/>
  <c r="D83" i="11"/>
  <c r="H88" i="11"/>
  <c r="C103" i="11"/>
  <c r="C95" i="11"/>
  <c r="D101" i="11"/>
  <c r="B91" i="11"/>
  <c r="H102" i="11"/>
  <c r="H109" i="11"/>
  <c r="H89" i="11"/>
  <c r="H95" i="11"/>
  <c r="C90" i="11"/>
</calcChain>
</file>

<file path=xl/sharedStrings.xml><?xml version="1.0" encoding="utf-8"?>
<sst xmlns="http://schemas.openxmlformats.org/spreadsheetml/2006/main" count="687" uniqueCount="231">
  <si>
    <t>НАИМЕНОВАНИЕ ЗАПОЛНЕНИЯ</t>
  </si>
  <si>
    <t>ВИД ЗАПОЛНЕНИЯ</t>
  </si>
  <si>
    <t>ТИП ЗАПОЛНЕНИЯ</t>
  </si>
  <si>
    <t>встроеное панель</t>
  </si>
  <si>
    <t>встроеное AG77</t>
  </si>
  <si>
    <t>1   (1-й тип)</t>
  </si>
  <si>
    <t>нет</t>
  </si>
  <si>
    <t>ВИД ЗАПОЛН (ТИП ЗАПОЛН)</t>
  </si>
  <si>
    <t>РАЗНЫЕ ЦВЕТА ЗАПОЛНЕНИЯ</t>
  </si>
  <si>
    <t>НАИМЕНОВАНИЕ</t>
  </si>
  <si>
    <t>ВСТР ПАНЕЛЬ ГОРИЗОНТАЛ
ВЛЕВО</t>
  </si>
  <si>
    <t>ВСТР ПАНЕЛЬ ВЕРТИКАЛ
ВЛЕВО</t>
  </si>
  <si>
    <t>КОД</t>
  </si>
  <si>
    <t>АРТИКУЛ</t>
  </si>
  <si>
    <t>КОЛИЧЕСТВО</t>
  </si>
  <si>
    <t>Расчет параметров створки откатных ворот</t>
  </si>
  <si>
    <t>Серия</t>
  </si>
  <si>
    <t>SGN.01</t>
  </si>
  <si>
    <t>SGN.02</t>
  </si>
  <si>
    <t>Теоретическая масса створки ворот, кг</t>
  </si>
  <si>
    <t>Тип опоры роликовой</t>
  </si>
  <si>
    <t>Ширина проема, мм</t>
  </si>
  <si>
    <t xml:space="preserve">Тип кронштейнов </t>
  </si>
  <si>
    <t>тип кронштейнов</t>
  </si>
  <si>
    <t>SGN.01.717</t>
  </si>
  <si>
    <t>SGN.01.718</t>
  </si>
  <si>
    <t>SGN.01.719</t>
  </si>
  <si>
    <t>SGN.02.717</t>
  </si>
  <si>
    <t>SGN.02.718</t>
  </si>
  <si>
    <t>SGN.02.719</t>
  </si>
  <si>
    <t>выбор</t>
  </si>
  <si>
    <t>Значения размеров</t>
  </si>
  <si>
    <t>A=</t>
  </si>
  <si>
    <t>a=</t>
  </si>
  <si>
    <t>b=</t>
  </si>
  <si>
    <t>c=</t>
  </si>
  <si>
    <t>I=</t>
  </si>
  <si>
    <t>a</t>
  </si>
  <si>
    <t>b</t>
  </si>
  <si>
    <t>c</t>
  </si>
  <si>
    <t>Lшины=</t>
  </si>
  <si>
    <t>Улавливатель верхний</t>
  </si>
  <si>
    <t>Ролик поддерживающий</t>
  </si>
  <si>
    <t>Опора роликовая</t>
  </si>
  <si>
    <t>SGN.01.100</t>
  </si>
  <si>
    <t>SGN.01.140</t>
  </si>
  <si>
    <t>SGN.01.150</t>
  </si>
  <si>
    <t>SGN.02.100</t>
  </si>
  <si>
    <t>SGN.02.140</t>
  </si>
  <si>
    <t>SGN.02.150</t>
  </si>
  <si>
    <t>да</t>
  </si>
  <si>
    <t>Подставка</t>
  </si>
  <si>
    <t>Ролик опорный</t>
  </si>
  <si>
    <t>Улавливатель нижний</t>
  </si>
  <si>
    <t>Упор</t>
  </si>
  <si>
    <t>Крышка</t>
  </si>
  <si>
    <t>Кронштейн</t>
  </si>
  <si>
    <t>Необходим второй ролик опорный</t>
  </si>
  <si>
    <t>SGN.00.500</t>
  </si>
  <si>
    <t>SGN.01.200</t>
  </si>
  <si>
    <t>SGN.01.510</t>
  </si>
  <si>
    <t>SGN.01.600</t>
  </si>
  <si>
    <t>SGN.02.200</t>
  </si>
  <si>
    <t>SGN.02.510</t>
  </si>
  <si>
    <t>SGN.02.600</t>
  </si>
  <si>
    <t>Рейка зубчатая</t>
  </si>
  <si>
    <t>FLGU.400.1001</t>
  </si>
  <si>
    <t>ROA8</t>
  </si>
  <si>
    <t>Ручка</t>
  </si>
  <si>
    <t>HG008</t>
  </si>
  <si>
    <t>Болт</t>
  </si>
  <si>
    <t>Винт самонарезающий</t>
  </si>
  <si>
    <t>Шайба</t>
  </si>
  <si>
    <t>Гайка</t>
  </si>
  <si>
    <t>M10x30B</t>
  </si>
  <si>
    <t>M16x50B</t>
  </si>
  <si>
    <t>4,8x19SDX</t>
  </si>
  <si>
    <t>8x25S</t>
  </si>
  <si>
    <t>D10WF</t>
  </si>
  <si>
    <t>D10WS</t>
  </si>
  <si>
    <t>M10NS</t>
  </si>
  <si>
    <t>Lmax=</t>
  </si>
  <si>
    <t>выбор2</t>
  </si>
  <si>
    <t>выбор3</t>
  </si>
  <si>
    <t>выбор4</t>
  </si>
  <si>
    <t>выбор5</t>
  </si>
  <si>
    <t>Шина направляющая</t>
  </si>
  <si>
    <t>SG.01.001</t>
  </si>
  <si>
    <t>SG.01.002</t>
  </si>
  <si>
    <t>SG.02.001</t>
  </si>
  <si>
    <t>SG.02.001-7</t>
  </si>
  <si>
    <t>SG.02.002</t>
  </si>
  <si>
    <t>SG.02.002-7</t>
  </si>
  <si>
    <t>оцинкованная</t>
  </si>
  <si>
    <t>неоцинкованная</t>
  </si>
  <si>
    <t>SGN.00.720</t>
  </si>
  <si>
    <t>SGN.01.320</t>
  </si>
  <si>
    <t>SGN.01.420</t>
  </si>
  <si>
    <t>SGN.02.320</t>
  </si>
  <si>
    <t>SGN.02.420</t>
  </si>
  <si>
    <t xml:space="preserve">Количество кронштейнов </t>
  </si>
  <si>
    <t>Приложение 3</t>
  </si>
  <si>
    <t xml:space="preserve">к приказу Первого заместителя </t>
  </si>
  <si>
    <t>Генерального директора ГК "Алютех"</t>
  </si>
  <si>
    <t xml:space="preserve">№/ПЗГД от </t>
  </si>
  <si>
    <t>Прайс-лист на комплектующие серии SG/SGN для производства откатных ворот. Действует с 29.12.2016.</t>
  </si>
  <si>
    <t>Код</t>
  </si>
  <si>
    <t>Артикул</t>
  </si>
  <si>
    <t>Наименование</t>
  </si>
  <si>
    <t>Цвет</t>
  </si>
  <si>
    <t>Ед. изм.</t>
  </si>
  <si>
    <t>БД,
 EUR с НДС</t>
  </si>
  <si>
    <t>БД,
 RUR с НДС</t>
  </si>
  <si>
    <t>Комплектующие для откатных ворот SG</t>
  </si>
  <si>
    <t>SG.01.100</t>
  </si>
  <si>
    <t>-</t>
  </si>
  <si>
    <t>шт.</t>
  </si>
  <si>
    <t>SG.02.100</t>
  </si>
  <si>
    <t>SG.01.300</t>
  </si>
  <si>
    <t>SG.02.300</t>
  </si>
  <si>
    <t>SG.01.400</t>
  </si>
  <si>
    <t>SG.02.400</t>
  </si>
  <si>
    <t>SG.01.500</t>
  </si>
  <si>
    <t>Ловитель верхний</t>
  </si>
  <si>
    <t>SG.01.710</t>
  </si>
  <si>
    <t>SG.01.701</t>
  </si>
  <si>
    <t>Шина</t>
  </si>
  <si>
    <t>SG.01.200</t>
  </si>
  <si>
    <t>SG.02.200</t>
  </si>
  <si>
    <t>SG.01.600</t>
  </si>
  <si>
    <t>Заглушка</t>
  </si>
  <si>
    <t>SG.02.600</t>
  </si>
  <si>
    <t>Шина направляющая  6 метров</t>
  </si>
  <si>
    <t>м</t>
  </si>
  <si>
    <t>Шина направляющая 7 метров</t>
  </si>
  <si>
    <t>Шина направляющая 6 метров</t>
  </si>
  <si>
    <t>Комплектующие для откатных ворот SGN</t>
  </si>
  <si>
    <t/>
  </si>
  <si>
    <t>Опора роликовая (стальные ролики)</t>
  </si>
  <si>
    <t>шт</t>
  </si>
  <si>
    <t>Опора роликовая (пластик. ролики)</t>
  </si>
  <si>
    <t>Опора роликовая (пластик ролики)</t>
  </si>
  <si>
    <t>SGN.03.717</t>
  </si>
  <si>
    <t>SGN.03.718</t>
  </si>
  <si>
    <t xml:space="preserve">Упор </t>
  </si>
  <si>
    <t>FLGU.400.0904</t>
  </si>
  <si>
    <t>Цена БД</t>
  </si>
  <si>
    <t>Стоимость</t>
  </si>
  <si>
    <t>Метизы</t>
  </si>
  <si>
    <t>M=</t>
  </si>
  <si>
    <t>Р=</t>
  </si>
  <si>
    <t>Длина шины</t>
  </si>
  <si>
    <t>выбор опор роликовых</t>
  </si>
  <si>
    <t>метизы</t>
  </si>
  <si>
    <t>Артикул шины</t>
  </si>
  <si>
    <t>SG.01</t>
  </si>
  <si>
    <t>SG.02</t>
  </si>
  <si>
    <t>.001</t>
  </si>
  <si>
    <t>.002</t>
  </si>
  <si>
    <t>FLGU.400.0932</t>
  </si>
  <si>
    <t>Ручной выбор расстояния между каретками</t>
  </si>
  <si>
    <t>Длина шины, м</t>
  </si>
  <si>
    <t>Шины неоцинкованные</t>
  </si>
  <si>
    <r>
      <t>Шина направлющая</t>
    </r>
    <r>
      <rPr>
        <sz val="6.5"/>
        <color indexed="8"/>
        <rFont val="Arial Cyr"/>
        <charset val="204"/>
      </rPr>
      <t xml:space="preserve"> (неоцинкованная)</t>
    </r>
  </si>
  <si>
    <t>м.</t>
  </si>
  <si>
    <t>Шина направлющая (неоцинкованная)</t>
  </si>
  <si>
    <t>Шины оцинкованные</t>
  </si>
  <si>
    <t>Шина направлющая (оцинкованная)</t>
  </si>
  <si>
    <t>Комплектующие для створки весом до 450 кг (стальные ролики)</t>
  </si>
  <si>
    <t>Опора  роликовая  (стальные ролики)</t>
  </si>
  <si>
    <t>Заглушка для направляющей шины</t>
  </si>
  <si>
    <t>Кронштейн верхний, предотвращает раскачивание створки</t>
  </si>
  <si>
    <t>Комплектующие для створки весом до 450 кг (полимерные ролики)</t>
  </si>
  <si>
    <t>Опора  роликовая  (полимерные ролики)</t>
  </si>
  <si>
    <t>Комплектующие для створки весом до 700 кг</t>
  </si>
  <si>
    <t>Опора  роликовая</t>
  </si>
  <si>
    <t xml:space="preserve">Кронштейн верхний, предотвращает раскачивание створки </t>
  </si>
  <si>
    <t>Дополнительные аксессуары</t>
  </si>
  <si>
    <t>Подставка для системы до 450 кг</t>
  </si>
  <si>
    <t>Подставка для системы до 700 кг</t>
  </si>
  <si>
    <r>
      <t xml:space="preserve">Опора роликовая (полимерные ролики). Для ворот до 500 кг.  </t>
    </r>
    <r>
      <rPr>
        <b/>
        <sz val="7"/>
        <color rgb="FFFF0000"/>
        <rFont val="Arial Cyr"/>
        <charset val="204"/>
      </rPr>
      <t>Light</t>
    </r>
  </si>
  <si>
    <r>
      <t xml:space="preserve">Опора роликовая (полимерные ролики). Для ворот до 500 кг. </t>
    </r>
    <r>
      <rPr>
        <b/>
        <sz val="7"/>
        <color rgb="FFFF0000"/>
        <rFont val="Arial Cyr"/>
        <charset val="204"/>
      </rPr>
      <t>Light</t>
    </r>
  </si>
  <si>
    <r>
      <t xml:space="preserve">Опора роликовая (полимерные ролики). Для ворот до 300 кг. </t>
    </r>
    <r>
      <rPr>
        <b/>
        <sz val="7"/>
        <color rgb="FFFF0000"/>
        <rFont val="Arial Cyr"/>
        <charset val="204"/>
      </rPr>
      <t>Light</t>
    </r>
  </si>
  <si>
    <t>Кронштейн (на 4 поддерживающих ролика)</t>
  </si>
  <si>
    <t>Кронштейн (на 2 поддерживающих ролика с использованием "козырька")</t>
  </si>
  <si>
    <t>Кронштейн удлиненный (на 4 поддерживающих ролика)</t>
  </si>
  <si>
    <t>Кронштейн удлиненный (на 2 поддерживающих ролика)</t>
  </si>
  <si>
    <t>SG.01.002.A</t>
  </si>
  <si>
    <t>SG.02.002.A</t>
  </si>
  <si>
    <t>SG.01.001.A</t>
  </si>
  <si>
    <t>SG.02.001.A</t>
  </si>
  <si>
    <t>Оцинкованная зубчатая рейка</t>
  </si>
  <si>
    <t>Рейка зубчатая пластиковая</t>
  </si>
  <si>
    <t>БД,
 RUB с НДС</t>
  </si>
  <si>
    <t>БД со скидкой,
 RUB с НДС</t>
  </si>
  <si>
    <r>
      <t>Шина направлющая</t>
    </r>
    <r>
      <rPr>
        <b/>
        <sz val="6.5"/>
        <color indexed="8"/>
        <rFont val="Arial Cyr"/>
        <charset val="204"/>
      </rPr>
      <t xml:space="preserve">, </t>
    </r>
    <r>
      <rPr>
        <sz val="6.5"/>
        <color indexed="8"/>
        <rFont val="Arial Cyr"/>
        <charset val="204"/>
      </rPr>
      <t xml:space="preserve"> </t>
    </r>
    <r>
      <rPr>
        <b/>
        <sz val="6.5"/>
        <color indexed="10"/>
        <rFont val="Arial Cyr"/>
        <charset val="204"/>
      </rPr>
      <t>НЕОЦИНКОВАННАЯ</t>
    </r>
  </si>
  <si>
    <r>
      <t>Шина направлющая</t>
    </r>
    <r>
      <rPr>
        <b/>
        <sz val="6.5"/>
        <color indexed="8"/>
        <rFont val="Arial Cyr"/>
        <charset val="204"/>
      </rPr>
      <t xml:space="preserve">, </t>
    </r>
    <r>
      <rPr>
        <b/>
        <sz val="6.5"/>
        <color indexed="10"/>
        <rFont val="Arial Cyr"/>
        <charset val="204"/>
      </rPr>
      <t>НЕОЦИНКОВАННАЯ</t>
    </r>
  </si>
  <si>
    <r>
      <t>Шина направлющая</t>
    </r>
    <r>
      <rPr>
        <b/>
        <sz val="6.5"/>
        <color indexed="8"/>
        <rFont val="Arial Cyr"/>
        <charset val="204"/>
      </rPr>
      <t xml:space="preserve">, </t>
    </r>
    <r>
      <rPr>
        <b/>
        <sz val="6.5"/>
        <color rgb="FFFF0000"/>
        <rFont val="Arial Cyr"/>
        <charset val="204"/>
      </rPr>
      <t>ОЦИНКОВАННАЯ</t>
    </r>
  </si>
  <si>
    <t>Инструкция:</t>
  </si>
  <si>
    <t>3. Вам предлагается спецификация стандартного комплекта + выбранные доп. Опции</t>
  </si>
  <si>
    <t>Можно просчитать сумму нескольких комплектов. Для этого проставьте количество комплектов, планируемых к приобретению.</t>
  </si>
  <si>
    <t>Необходима ручка HG008</t>
  </si>
  <si>
    <t>Улавливатель ниж</t>
  </si>
  <si>
    <t>SGN.00.400</t>
  </si>
  <si>
    <t>Элемент крепления</t>
  </si>
  <si>
    <t>PRG-33</t>
  </si>
  <si>
    <t>C-профиль</t>
  </si>
  <si>
    <t>Ед.Изм.</t>
  </si>
  <si>
    <t>Ед.измерения</t>
  </si>
  <si>
    <t>Количество</t>
  </si>
  <si>
    <t>Стоимость стандартного комплекта</t>
  </si>
  <si>
    <t>Стоимость комплекта</t>
  </si>
  <si>
    <t>Стоимость заказа</t>
  </si>
  <si>
    <t>Цена БД+ скидка</t>
  </si>
  <si>
    <t>Количество в заказе</t>
  </si>
  <si>
    <t>2. Перейдите в лист "Спецификация", проставьте (при возможности) скидку</t>
  </si>
  <si>
    <t>выбор6</t>
  </si>
  <si>
    <t>Доп.опции (действует скидка ADS)</t>
  </si>
  <si>
    <t>Cкидка на доп.опции ADS</t>
  </si>
  <si>
    <t>Скидка на SGN</t>
  </si>
  <si>
    <t>Необходим кронштейн для улавливателей</t>
  </si>
  <si>
    <t>Стоимость дополнительных опций</t>
  </si>
  <si>
    <t>Необходимое количество</t>
  </si>
  <si>
    <t>Стандартные длины, м</t>
  </si>
  <si>
    <t>5,3; 6; 7; 8; 9</t>
  </si>
  <si>
    <t>6; 7; 8; 9</t>
  </si>
  <si>
    <t>6; 7</t>
  </si>
  <si>
    <t xml:space="preserve">   Комплектующие серии SGN  для откатных ворот (ALUTECH)</t>
  </si>
  <si>
    <t>Доп.опции ADS (действует скидка ADS)</t>
  </si>
  <si>
    <t>Версия: 15, 2018.08.28</t>
  </si>
  <si>
    <t>1. Заполните по очереди каждый параметр, при необходимости комплектования метизами, выберите "ДА" в ячейке Q100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</si>
</sst>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rebuchet MS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0"/>
      <color indexed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Arial Cyr"/>
      <charset val="204"/>
    </font>
    <font>
      <b/>
      <sz val="10"/>
      <name val="Arial"/>
      <family val="2"/>
      <charset val="204"/>
    </font>
    <font>
      <b/>
      <sz val="16"/>
      <color rgb="FFFF0000"/>
      <name val="Arial Cyr"/>
      <charset val="204"/>
    </font>
    <font>
      <sz val="20"/>
      <name val="Arial Cyr"/>
      <charset val="204"/>
    </font>
    <font>
      <sz val="12"/>
      <name val="Arial Cyr"/>
      <charset val="204"/>
    </font>
    <font>
      <sz val="12"/>
      <name val="Trebuchet MS"/>
      <family val="2"/>
      <charset val="204"/>
    </font>
    <font>
      <b/>
      <sz val="12"/>
      <name val="Arial Cyr"/>
      <charset val="204"/>
    </font>
    <font>
      <sz val="36"/>
      <color rgb="FF000000"/>
      <name val="Bar_Code_Gates"/>
    </font>
    <font>
      <b/>
      <sz val="36"/>
      <name val="Arial Cyr"/>
      <charset val="204"/>
    </font>
    <font>
      <b/>
      <sz val="12"/>
      <color rgb="FFFF0000"/>
      <name val="Arial Cyr"/>
      <charset val="204"/>
    </font>
    <font>
      <b/>
      <sz val="8"/>
      <name val="Arial Cyr"/>
      <charset val="204"/>
    </font>
    <font>
      <b/>
      <sz val="15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5"/>
      <name val="Arial Cyr"/>
      <charset val="204"/>
    </font>
    <font>
      <b/>
      <sz val="14"/>
      <name val="Arial Cyr"/>
      <charset val="204"/>
    </font>
    <font>
      <b/>
      <sz val="20"/>
      <name val="Arial Cyr"/>
      <charset val="204"/>
    </font>
    <font>
      <sz val="14"/>
      <name val="Arial Cyr"/>
      <charset val="204"/>
    </font>
    <font>
      <b/>
      <sz val="11"/>
      <name val="Arial Cyr"/>
      <charset val="204"/>
    </font>
    <font>
      <sz val="26"/>
      <name val="Arial Cyr"/>
      <charset val="204"/>
    </font>
    <font>
      <sz val="13"/>
      <name val="Arial Cyr"/>
      <charset val="204"/>
    </font>
    <font>
      <b/>
      <sz val="10"/>
      <color indexed="72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3"/>
      <color rgb="FFFF0000"/>
      <name val="Arial Cyr"/>
      <charset val="204"/>
    </font>
    <font>
      <b/>
      <sz val="6.5"/>
      <color indexed="8"/>
      <name val="Arial Cyr"/>
      <charset val="204"/>
    </font>
    <font>
      <b/>
      <sz val="8"/>
      <color indexed="8"/>
      <name val="Arial Cyr"/>
      <charset val="204"/>
    </font>
    <font>
      <sz val="7"/>
      <name val="Arial Cyr"/>
      <charset val="204"/>
    </font>
    <font>
      <sz val="6.5"/>
      <color indexed="8"/>
      <name val="Arial Cyr"/>
      <charset val="204"/>
    </font>
    <font>
      <b/>
      <sz val="7"/>
      <color indexed="8"/>
      <name val="Arial Cyr"/>
      <charset val="204"/>
    </font>
    <font>
      <b/>
      <sz val="7"/>
      <color rgb="FFFF0000"/>
      <name val="Arial Cyr"/>
      <charset val="204"/>
    </font>
    <font>
      <b/>
      <sz val="12"/>
      <color indexed="62"/>
      <name val="Arial Cyr"/>
      <charset val="204"/>
    </font>
    <font>
      <b/>
      <sz val="6.5"/>
      <color indexed="10"/>
      <name val="Arial Cyr"/>
      <charset val="204"/>
    </font>
    <font>
      <b/>
      <sz val="6.5"/>
      <color rgb="FFFF0000"/>
      <name val="Arial Cyr"/>
      <charset val="204"/>
    </font>
    <font>
      <b/>
      <sz val="6.5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3" fillId="0" borderId="0"/>
    <xf numFmtId="0" fontId="1" fillId="0" borderId="0"/>
    <xf numFmtId="0" fontId="24" fillId="0" borderId="0"/>
    <xf numFmtId="0" fontId="32" fillId="0" borderId="0"/>
    <xf numFmtId="9" fontId="24" fillId="0" borderId="0" applyFont="0" applyFill="0" applyBorder="0" applyAlignment="0" applyProtection="0"/>
    <xf numFmtId="0" fontId="24" fillId="0" borderId="0"/>
  </cellStyleXfs>
  <cellXfs count="395">
    <xf numFmtId="0" fontId="0" fillId="0" borderId="0" xfId="0"/>
    <xf numFmtId="0" fontId="0" fillId="0" borderId="0" xfId="0" applyFill="1" applyBorder="1" applyProtection="1">
      <protection hidden="1"/>
    </xf>
    <xf numFmtId="0" fontId="0" fillId="0" borderId="0" xfId="0" applyNumberForma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15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6" fillId="0" borderId="2" xfId="0" applyFont="1" applyFill="1" applyBorder="1" applyAlignment="1" applyProtection="1">
      <protection hidden="1"/>
    </xf>
    <xf numFmtId="0" fontId="6" fillId="0" borderId="0" xfId="0" applyNumberFormat="1" applyFont="1" applyFill="1" applyBorder="1" applyProtection="1">
      <protection hidden="1"/>
    </xf>
    <xf numFmtId="0" fontId="6" fillId="0" borderId="4" xfId="0" applyFont="1" applyFill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protection hidden="1"/>
    </xf>
    <xf numFmtId="0" fontId="15" fillId="0" borderId="0" xfId="0" applyFont="1" applyBorder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0" fontId="2" fillId="0" borderId="0" xfId="0" applyFont="1" applyBorder="1" applyProtection="1"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Protection="1">
      <protection hidden="1"/>
    </xf>
    <xf numFmtId="0" fontId="16" fillId="0" borderId="0" xfId="0" applyFont="1" applyBorder="1" applyProtection="1"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vertical="center" wrapText="1"/>
      <protection hidden="1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9" fillId="0" borderId="2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2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13" fillId="0" borderId="0" xfId="0" applyNumberFormat="1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3" fillId="0" borderId="4" xfId="0" applyNumberFormat="1" applyFont="1" applyFill="1" applyBorder="1" applyAlignment="1" applyProtection="1">
      <alignment vertical="center"/>
      <protection hidden="1"/>
    </xf>
    <xf numFmtId="0" fontId="0" fillId="0" borderId="5" xfId="0" applyNumberFormat="1" applyFill="1" applyBorder="1" applyProtection="1">
      <protection hidden="1"/>
    </xf>
    <xf numFmtId="0" fontId="6" fillId="0" borderId="2" xfId="0" applyFont="1" applyFill="1" applyBorder="1" applyAlignment="1" applyProtection="1">
      <alignment vertical="center"/>
      <protection hidden="1"/>
    </xf>
    <xf numFmtId="0" fontId="25" fillId="0" borderId="0" xfId="0" applyFont="1" applyFill="1" applyBorder="1" applyAlignment="1" applyProtection="1">
      <alignment vertical="center"/>
      <protection hidden="1"/>
    </xf>
    <xf numFmtId="49" fontId="17" fillId="0" borderId="0" xfId="0" applyNumberFormat="1" applyFont="1" applyFill="1" applyBorder="1" applyAlignment="1" applyProtection="1">
      <alignment vertical="top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0" fillId="0" borderId="11" xfId="0" applyFill="1" applyBorder="1" applyProtection="1">
      <protection hidden="1"/>
    </xf>
    <xf numFmtId="0" fontId="0" fillId="0" borderId="11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left" vertical="center" indent="2"/>
      <protection hidden="1"/>
    </xf>
    <xf numFmtId="0" fontId="10" fillId="0" borderId="0" xfId="0" applyFont="1" applyFill="1" applyBorder="1" applyAlignment="1" applyProtection="1">
      <alignment horizontal="right" vertical="center"/>
      <protection hidden="1"/>
    </xf>
    <xf numFmtId="0" fontId="9" fillId="0" borderId="0" xfId="0" applyFont="1" applyFill="1" applyBorder="1" applyAlignment="1" applyProtection="1">
      <protection hidden="1"/>
    </xf>
    <xf numFmtId="0" fontId="11" fillId="0" borderId="0" xfId="0" applyFont="1" applyFill="1" applyBorder="1" applyAlignment="1" applyProtection="1">
      <protection hidden="1"/>
    </xf>
    <xf numFmtId="0" fontId="0" fillId="0" borderId="1" xfId="0" applyFill="1" applyBorder="1" applyProtection="1">
      <protection hidden="1"/>
    </xf>
    <xf numFmtId="49" fontId="20" fillId="0" borderId="0" xfId="0" applyNumberFormat="1" applyFont="1" applyFill="1" applyBorder="1" applyAlignment="1" applyProtection="1">
      <alignment horizontal="center" vertical="center"/>
      <protection locked="0" hidden="1"/>
    </xf>
    <xf numFmtId="49" fontId="17" fillId="0" borderId="0" xfId="0" applyNumberFormat="1" applyFont="1" applyFill="1" applyBorder="1" applyAlignment="1" applyProtection="1">
      <alignment horizontal="left" vertical="center" indent="2"/>
      <protection hidden="1"/>
    </xf>
    <xf numFmtId="0" fontId="0" fillId="0" borderId="10" xfId="0" applyFill="1" applyBorder="1" applyAlignment="1" applyProtection="1">
      <alignment vertical="center"/>
      <protection hidden="1"/>
    </xf>
    <xf numFmtId="0" fontId="0" fillId="0" borderId="21" xfId="0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NumberFormat="1" applyFill="1" applyBorder="1" applyAlignment="1" applyProtection="1">
      <protection hidden="1"/>
    </xf>
    <xf numFmtId="0" fontId="30" fillId="0" borderId="0" xfId="0" applyNumberFormat="1" applyFont="1" applyFill="1" applyBorder="1" applyAlignment="1" applyProtection="1">
      <protection hidden="1"/>
    </xf>
    <xf numFmtId="0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Protection="1"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25" fillId="0" borderId="0" xfId="0" applyNumberFormat="1" applyFont="1" applyFill="1" applyBorder="1" applyAlignment="1" applyProtection="1">
      <alignment horizontal="left" vertical="center" indent="1"/>
      <protection hidden="1"/>
    </xf>
    <xf numFmtId="0" fontId="11" fillId="0" borderId="0" xfId="0" applyFont="1" applyFill="1" applyBorder="1" applyProtection="1">
      <protection hidden="1"/>
    </xf>
    <xf numFmtId="0" fontId="11" fillId="0" borderId="0" xfId="0" applyNumberFormat="1" applyFont="1" applyFill="1" applyBorder="1" applyProtection="1">
      <protection hidden="1"/>
    </xf>
    <xf numFmtId="0" fontId="15" fillId="0" borderId="4" xfId="0" applyNumberFormat="1" applyFont="1" applyFill="1" applyBorder="1" applyAlignment="1" applyProtection="1">
      <alignment vertical="top" wrapText="1"/>
      <protection hidden="1"/>
    </xf>
    <xf numFmtId="49" fontId="0" fillId="0" borderId="0" xfId="0" applyNumberFormat="1" applyFill="1" applyBorder="1" applyProtection="1">
      <protection hidden="1"/>
    </xf>
    <xf numFmtId="0" fontId="0" fillId="0" borderId="19" xfId="0" applyNumberFormat="1" applyFill="1" applyBorder="1" applyProtection="1">
      <protection hidden="1"/>
    </xf>
    <xf numFmtId="0" fontId="0" fillId="0" borderId="31" xfId="0" applyFill="1" applyBorder="1" applyProtection="1">
      <protection hidden="1"/>
    </xf>
    <xf numFmtId="0" fontId="0" fillId="0" borderId="32" xfId="0" applyFill="1" applyBorder="1" applyProtection="1">
      <protection hidden="1"/>
    </xf>
    <xf numFmtId="0" fontId="0" fillId="0" borderId="32" xfId="0" applyNumberForma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0" fillId="0" borderId="34" xfId="0" applyNumberFormat="1" applyFill="1" applyBorder="1" applyProtection="1">
      <protection hidden="1"/>
    </xf>
    <xf numFmtId="0" fontId="2" fillId="0" borderId="0" xfId="0" applyFont="1" applyFill="1"/>
    <xf numFmtId="4" fontId="2" fillId="0" borderId="0" xfId="0" applyNumberFormat="1" applyFont="1" applyFill="1"/>
    <xf numFmtId="0" fontId="12" fillId="3" borderId="10" xfId="0" applyFont="1" applyFill="1" applyBorder="1" applyAlignment="1" applyProtection="1">
      <alignment horizontal="center" vertical="center"/>
    </xf>
    <xf numFmtId="0" fontId="12" fillId="3" borderId="23" xfId="0" applyFont="1" applyFill="1" applyBorder="1" applyAlignment="1" applyProtection="1">
      <alignment horizontal="center" vertical="center"/>
    </xf>
    <xf numFmtId="49" fontId="12" fillId="3" borderId="23" xfId="0" applyNumberFormat="1" applyFont="1" applyFill="1" applyBorder="1" applyAlignment="1" applyProtection="1">
      <alignment horizontal="center" vertical="center"/>
    </xf>
    <xf numFmtId="0" fontId="12" fillId="3" borderId="23" xfId="0" applyFont="1" applyFill="1" applyBorder="1" applyAlignment="1" applyProtection="1">
      <alignment horizontal="center" vertical="center" wrapText="1"/>
    </xf>
    <xf numFmtId="0" fontId="12" fillId="4" borderId="23" xfId="0" applyNumberFormat="1" applyFont="1" applyFill="1" applyBorder="1" applyAlignment="1" applyProtection="1">
      <alignment horizontal="center" vertical="center" wrapText="1"/>
    </xf>
    <xf numFmtId="0" fontId="33" fillId="5" borderId="27" xfId="0" applyFont="1" applyFill="1" applyBorder="1" applyAlignment="1" applyProtection="1">
      <alignment horizontal="left" vertical="center"/>
    </xf>
    <xf numFmtId="49" fontId="33" fillId="5" borderId="15" xfId="0" applyNumberFormat="1" applyFont="1" applyFill="1" applyBorder="1" applyAlignment="1" applyProtection="1">
      <alignment vertical="center"/>
    </xf>
    <xf numFmtId="0" fontId="33" fillId="5" borderId="15" xfId="0" applyFont="1" applyFill="1" applyBorder="1" applyAlignment="1" applyProtection="1">
      <alignment horizontal="left" vertical="center"/>
    </xf>
    <xf numFmtId="49" fontId="33" fillId="5" borderId="15" xfId="0" applyNumberFormat="1" applyFont="1" applyFill="1" applyBorder="1" applyAlignment="1" applyProtection="1">
      <alignment horizontal="center" vertical="center"/>
    </xf>
    <xf numFmtId="4" fontId="33" fillId="5" borderId="16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left" vertical="center"/>
    </xf>
    <xf numFmtId="49" fontId="2" fillId="0" borderId="7" xfId="0" applyNumberFormat="1" applyFont="1" applyFill="1" applyBorder="1" applyAlignment="1" applyProtection="1">
      <alignment horizontal="left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2" fontId="2" fillId="0" borderId="7" xfId="0" applyNumberFormat="1" applyFont="1" applyFill="1" applyBorder="1" applyAlignment="1" applyProtection="1">
      <alignment horizontal="center" vertical="center"/>
    </xf>
    <xf numFmtId="4" fontId="2" fillId="0" borderId="7" xfId="0" applyNumberFormat="1" applyFont="1" applyFill="1" applyBorder="1" applyAlignment="1" applyProtection="1">
      <alignment horizontal="center" vertical="center"/>
    </xf>
    <xf numFmtId="0" fontId="34" fillId="0" borderId="7" xfId="0" applyFont="1" applyFill="1" applyBorder="1" applyAlignment="1" applyProtection="1">
      <alignment horizontal="left" vertical="center"/>
    </xf>
    <xf numFmtId="49" fontId="34" fillId="0" borderId="7" xfId="0" applyNumberFormat="1" applyFont="1" applyFill="1" applyBorder="1" applyAlignment="1" applyProtection="1">
      <alignment horizontal="left" vertical="center"/>
    </xf>
    <xf numFmtId="49" fontId="34" fillId="0" borderId="7" xfId="0" applyNumberFormat="1" applyFont="1" applyFill="1" applyBorder="1" applyAlignment="1" applyProtection="1">
      <alignment horizontal="center" vertical="center"/>
    </xf>
    <xf numFmtId="0" fontId="34" fillId="0" borderId="7" xfId="0" applyFont="1" applyFill="1" applyBorder="1" applyAlignment="1" applyProtection="1">
      <alignment horizontal="center" vertical="center"/>
    </xf>
    <xf numFmtId="4" fontId="34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/>
    <xf numFmtId="49" fontId="33" fillId="5" borderId="16" xfId="0" applyNumberFormat="1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left" vertical="center"/>
    </xf>
    <xf numFmtId="49" fontId="34" fillId="0" borderId="13" xfId="0" applyNumberFormat="1" applyFont="1" applyFill="1" applyBorder="1" applyAlignment="1" applyProtection="1">
      <alignment horizontal="left" vertical="center"/>
    </xf>
    <xf numFmtId="49" fontId="34" fillId="0" borderId="13" xfId="0" applyNumberFormat="1" applyFont="1" applyFill="1" applyBorder="1" applyAlignment="1" applyProtection="1">
      <alignment horizontal="center" vertical="center"/>
    </xf>
    <xf numFmtId="0" fontId="34" fillId="0" borderId="13" xfId="0" applyFont="1" applyFill="1" applyBorder="1" applyAlignment="1" applyProtection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</xf>
    <xf numFmtId="4" fontId="34" fillId="0" borderId="13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2" fontId="2" fillId="0" borderId="7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Fill="1" applyBorder="1" applyAlignment="1" applyProtection="1">
      <alignment horizontal="center" vertical="center"/>
      <protection locked="0"/>
    </xf>
    <xf numFmtId="0" fontId="34" fillId="0" borderId="7" xfId="0" applyFont="1" applyFill="1" applyBorder="1" applyAlignment="1" applyProtection="1">
      <alignment horizontal="left" vertical="center"/>
      <protection locked="0"/>
    </xf>
    <xf numFmtId="49" fontId="34" fillId="0" borderId="7" xfId="0" applyNumberFormat="1" applyFont="1" applyFill="1" applyBorder="1" applyAlignment="1" applyProtection="1">
      <alignment horizontal="left" vertical="center"/>
      <protection locked="0"/>
    </xf>
    <xf numFmtId="49" fontId="34" fillId="0" borderId="7" xfId="0" applyNumberFormat="1" applyFont="1" applyFill="1" applyBorder="1" applyAlignment="1" applyProtection="1">
      <alignment horizontal="center" vertical="center"/>
      <protection locked="0"/>
    </xf>
    <xf numFmtId="0" fontId="34" fillId="0" borderId="7" xfId="0" applyFont="1" applyFill="1" applyBorder="1" applyAlignment="1" applyProtection="1">
      <alignment horizontal="center" vertical="center"/>
      <protection locked="0"/>
    </xf>
    <xf numFmtId="49" fontId="33" fillId="5" borderId="16" xfId="0" applyNumberFormat="1" applyFont="1" applyFill="1" applyBorder="1" applyAlignment="1" applyProtection="1">
      <alignment horizontal="center" vertical="center"/>
      <protection locked="0"/>
    </xf>
    <xf numFmtId="0" fontId="34" fillId="0" borderId="13" xfId="0" applyFont="1" applyFill="1" applyBorder="1" applyAlignment="1" applyProtection="1">
      <alignment horizontal="left" vertical="center"/>
      <protection locked="0"/>
    </xf>
    <xf numFmtId="49" fontId="34" fillId="0" borderId="13" xfId="0" applyNumberFormat="1" applyFont="1" applyFill="1" applyBorder="1" applyAlignment="1" applyProtection="1">
      <alignment horizontal="left" vertical="center"/>
      <protection locked="0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49" fontId="2" fillId="0" borderId="9" xfId="0" applyNumberFormat="1" applyFont="1" applyFill="1" applyBorder="1" applyAlignment="1" applyProtection="1">
      <alignment horizontal="left" vertical="center"/>
      <protection locked="0"/>
    </xf>
    <xf numFmtId="49" fontId="2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Protection="1">
      <protection locked="0"/>
    </xf>
    <xf numFmtId="0" fontId="0" fillId="0" borderId="0" xfId="0" applyProtection="1"/>
    <xf numFmtId="49" fontId="33" fillId="5" borderId="23" xfId="0" applyNumberFormat="1" applyFont="1" applyFill="1" applyBorder="1" applyAlignment="1" applyProtection="1">
      <alignment horizontal="center" vertical="center"/>
      <protection locked="0"/>
    </xf>
    <xf numFmtId="2" fontId="34" fillId="0" borderId="13" xfId="0" applyNumberFormat="1" applyFont="1" applyFill="1" applyBorder="1" applyAlignment="1" applyProtection="1">
      <alignment horizontal="center" vertical="center"/>
      <protection locked="0"/>
    </xf>
    <xf numFmtId="0" fontId="34" fillId="0" borderId="9" xfId="0" applyFont="1" applyFill="1" applyBorder="1" applyAlignment="1" applyProtection="1">
      <alignment horizontal="left" vertical="center"/>
      <protection locked="0"/>
    </xf>
    <xf numFmtId="49" fontId="34" fillId="0" borderId="9" xfId="0" applyNumberFormat="1" applyFont="1" applyFill="1" applyBorder="1" applyAlignment="1" applyProtection="1">
      <alignment horizontal="left" vertical="center"/>
      <protection locked="0"/>
    </xf>
    <xf numFmtId="49" fontId="34" fillId="0" borderId="9" xfId="0" applyNumberFormat="1" applyFont="1" applyFill="1" applyBorder="1" applyAlignment="1" applyProtection="1">
      <alignment horizontal="center" vertical="center"/>
      <protection locked="0"/>
    </xf>
    <xf numFmtId="0" fontId="34" fillId="0" borderId="9" xfId="0" applyFont="1" applyFill="1" applyBorder="1" applyAlignment="1" applyProtection="1">
      <alignment horizontal="center" vertical="center"/>
      <protection locked="0"/>
    </xf>
    <xf numFmtId="0" fontId="0" fillId="0" borderId="14" xfId="0" applyFill="1" applyBorder="1" applyProtection="1">
      <protection hidden="1"/>
    </xf>
    <xf numFmtId="0" fontId="0" fillId="0" borderId="39" xfId="0" applyFill="1" applyBorder="1" applyProtection="1">
      <protection hidden="1"/>
    </xf>
    <xf numFmtId="0" fontId="0" fillId="0" borderId="34" xfId="0" applyFill="1" applyBorder="1" applyProtection="1">
      <protection hidden="1"/>
    </xf>
    <xf numFmtId="0" fontId="0" fillId="0" borderId="41" xfId="0" applyNumberFormat="1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18" xfId="0" applyNumberFormat="1" applyFill="1" applyBorder="1" applyProtection="1">
      <protection hidden="1"/>
    </xf>
    <xf numFmtId="0" fontId="0" fillId="0" borderId="22" xfId="0" applyNumberFormat="1" applyFill="1" applyBorder="1" applyProtection="1">
      <protection hidden="1"/>
    </xf>
    <xf numFmtId="0" fontId="0" fillId="0" borderId="38" xfId="0" applyNumberFormat="1" applyFill="1" applyBorder="1" applyProtection="1">
      <protection hidden="1"/>
    </xf>
    <xf numFmtId="0" fontId="0" fillId="0" borderId="37" xfId="0" applyNumberFormat="1" applyFill="1" applyBorder="1" applyProtection="1">
      <protection hidden="1"/>
    </xf>
    <xf numFmtId="0" fontId="0" fillId="0" borderId="40" xfId="0" applyNumberFormat="1" applyFill="1" applyBorder="1" applyProtection="1">
      <protection hidden="1"/>
    </xf>
    <xf numFmtId="0" fontId="0" fillId="0" borderId="43" xfId="0" applyNumberFormat="1" applyFill="1" applyBorder="1" applyProtection="1">
      <protection hidden="1"/>
    </xf>
    <xf numFmtId="0" fontId="0" fillId="0" borderId="30" xfId="0" applyNumberFormat="1" applyFill="1" applyBorder="1" applyProtection="1">
      <protection hidden="1"/>
    </xf>
    <xf numFmtId="0" fontId="0" fillId="0" borderId="10" xfId="0" applyNumberFormat="1" applyFill="1" applyBorder="1" applyProtection="1">
      <protection hidden="1"/>
    </xf>
    <xf numFmtId="0" fontId="0" fillId="0" borderId="21" xfId="0" applyNumberFormat="1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14" xfId="0" applyNumberFormat="1" applyFill="1" applyBorder="1" applyProtection="1">
      <protection hidden="1"/>
    </xf>
    <xf numFmtId="0" fontId="0" fillId="0" borderId="15" xfId="0" applyNumberFormat="1" applyFill="1" applyBorder="1" applyProtection="1">
      <protection hidden="1"/>
    </xf>
    <xf numFmtId="0" fontId="0" fillId="0" borderId="15" xfId="0" applyFill="1" applyBorder="1" applyProtection="1">
      <protection hidden="1"/>
    </xf>
    <xf numFmtId="0" fontId="2" fillId="0" borderId="36" xfId="0" applyFont="1" applyFill="1" applyBorder="1" applyAlignment="1" applyProtection="1">
      <alignment horizontal="left" vertical="center"/>
      <protection locked="0"/>
    </xf>
    <xf numFmtId="49" fontId="2" fillId="0" borderId="36" xfId="0" applyNumberFormat="1" applyFont="1" applyFill="1" applyBorder="1" applyAlignment="1" applyProtection="1">
      <alignment horizontal="left" vertical="center"/>
      <protection locked="0"/>
    </xf>
    <xf numFmtId="49" fontId="2" fillId="0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2" fontId="2" fillId="0" borderId="36" xfId="0" applyNumberFormat="1" applyFont="1" applyFill="1" applyBorder="1" applyAlignment="1" applyProtection="1">
      <alignment horizontal="center" vertical="center"/>
      <protection locked="0"/>
    </xf>
    <xf numFmtId="2" fontId="2" fillId="0" borderId="44" xfId="0" applyNumberFormat="1" applyFont="1" applyFill="1" applyBorder="1" applyAlignment="1" applyProtection="1">
      <alignment horizontal="center" vertical="center"/>
      <protection locked="0"/>
    </xf>
    <xf numFmtId="2" fontId="2" fillId="0" borderId="45" xfId="0" applyNumberFormat="1" applyFont="1" applyFill="1" applyBorder="1" applyAlignment="1" applyProtection="1">
      <alignment horizontal="center" vertical="center"/>
      <protection locked="0"/>
    </xf>
    <xf numFmtId="49" fontId="34" fillId="0" borderId="8" xfId="0" applyNumberFormat="1" applyFont="1" applyFill="1" applyBorder="1" applyAlignment="1" applyProtection="1">
      <alignment horizontal="left" vertical="center"/>
      <protection locked="0"/>
    </xf>
    <xf numFmtId="0" fontId="34" fillId="0" borderId="8" xfId="0" applyFont="1" applyFill="1" applyBorder="1" applyAlignment="1" applyProtection="1">
      <alignment horizontal="left" vertical="center"/>
      <protection locked="0"/>
    </xf>
    <xf numFmtId="49" fontId="34" fillId="0" borderId="8" xfId="0" applyNumberFormat="1" applyFont="1" applyFill="1" applyBorder="1" applyAlignment="1" applyProtection="1">
      <alignment horizontal="center" vertical="center"/>
      <protection locked="0"/>
    </xf>
    <xf numFmtId="0" fontId="34" fillId="0" borderId="8" xfId="0" applyFont="1" applyFill="1" applyBorder="1" applyAlignment="1" applyProtection="1">
      <alignment horizontal="center" vertical="center"/>
      <protection locked="0"/>
    </xf>
    <xf numFmtId="2" fontId="2" fillId="0" borderId="58" xfId="0" applyNumberFormat="1" applyFont="1" applyFill="1" applyBorder="1" applyAlignment="1" applyProtection="1">
      <alignment horizontal="center" vertical="center"/>
      <protection locked="0"/>
    </xf>
    <xf numFmtId="0" fontId="33" fillId="0" borderId="59" xfId="0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 vertical="center"/>
      <protection hidden="1"/>
    </xf>
    <xf numFmtId="0" fontId="22" fillId="0" borderId="2" xfId="0" applyFont="1" applyFill="1" applyBorder="1" applyAlignment="1" applyProtection="1">
      <alignment horizontal="center" vertical="center"/>
      <protection hidden="1"/>
    </xf>
    <xf numFmtId="49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49" fontId="34" fillId="0" borderId="0" xfId="0" applyNumberFormat="1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4" fontId="34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29" xfId="0" applyNumberFormat="1" applyFill="1" applyBorder="1" applyProtection="1">
      <protection hidden="1"/>
    </xf>
    <xf numFmtId="0" fontId="0" fillId="0" borderId="11" xfId="0" applyBorder="1"/>
    <xf numFmtId="0" fontId="0" fillId="0" borderId="27" xfId="0" applyBorder="1"/>
    <xf numFmtId="0" fontId="0" fillId="0" borderId="15" xfId="0" applyFill="1" applyBorder="1" applyAlignment="1" applyProtection="1">
      <protection hidden="1"/>
    </xf>
    <xf numFmtId="0" fontId="0" fillId="0" borderId="16" xfId="0" applyNumberFormat="1" applyFill="1" applyBorder="1" applyAlignment="1" applyProtection="1">
      <protection hidden="1"/>
    </xf>
    <xf numFmtId="0" fontId="0" fillId="0" borderId="15" xfId="0" applyBorder="1"/>
    <xf numFmtId="0" fontId="0" fillId="0" borderId="16" xfId="0" applyBorder="1"/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left" vertical="center" indent="1"/>
      <protection hidden="1"/>
    </xf>
    <xf numFmtId="0" fontId="0" fillId="0" borderId="60" xfId="0" applyFill="1" applyBorder="1" applyProtection="1">
      <protection hidden="1"/>
    </xf>
    <xf numFmtId="0" fontId="0" fillId="0" borderId="9" xfId="0" applyBorder="1" applyProtection="1">
      <protection locked="0"/>
    </xf>
    <xf numFmtId="10" fontId="33" fillId="6" borderId="16" xfId="5" applyNumberFormat="1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hidden="1"/>
    </xf>
    <xf numFmtId="0" fontId="17" fillId="0" borderId="17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7" xfId="0" applyBorder="1" applyAlignment="1" applyProtection="1">
      <alignment horizontal="left" vertical="center" indent="1"/>
      <protection hidden="1"/>
    </xf>
    <xf numFmtId="0" fontId="0" fillId="0" borderId="10" xfId="0" applyBorder="1" applyAlignment="1" applyProtection="1">
      <alignment horizontal="left" vertical="center" indent="1"/>
      <protection hidden="1"/>
    </xf>
    <xf numFmtId="0" fontId="0" fillId="0" borderId="28" xfId="0" applyBorder="1" applyAlignment="1" applyProtection="1">
      <alignment horizontal="left" vertical="center" indent="1"/>
      <protection hidden="1"/>
    </xf>
    <xf numFmtId="0" fontId="0" fillId="0" borderId="18" xfId="0" applyBorder="1" applyAlignment="1" applyProtection="1">
      <alignment horizontal="left" vertical="center" indent="1"/>
      <protection hidden="1"/>
    </xf>
    <xf numFmtId="0" fontId="0" fillId="0" borderId="14" xfId="0" applyBorder="1" applyAlignment="1" applyProtection="1">
      <alignment horizontal="left" vertical="center" indent="1"/>
      <protection hidden="1"/>
    </xf>
    <xf numFmtId="0" fontId="0" fillId="0" borderId="0" xfId="0" applyBorder="1" applyAlignment="1" applyProtection="1">
      <alignment horizontal="left" vertical="center" indent="1"/>
      <protection hidden="1"/>
    </xf>
    <xf numFmtId="0" fontId="0" fillId="0" borderId="22" xfId="0" applyBorder="1" applyAlignment="1" applyProtection="1">
      <alignment horizontal="left" vertical="center" indent="1"/>
      <protection hidden="1"/>
    </xf>
    <xf numFmtId="0" fontId="0" fillId="0" borderId="21" xfId="0" applyBorder="1" applyAlignment="1" applyProtection="1">
      <alignment horizontal="left" vertical="center" indent="1"/>
      <protection hidden="1"/>
    </xf>
    <xf numFmtId="0" fontId="0" fillId="0" borderId="6" xfId="0" applyBorder="1" applyAlignment="1" applyProtection="1">
      <alignment horizontal="left" vertical="center" indent="1"/>
      <protection hidden="1"/>
    </xf>
    <xf numFmtId="0" fontId="0" fillId="0" borderId="23" xfId="0" applyBorder="1" applyAlignment="1" applyProtection="1"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/>
      <protection hidden="1"/>
    </xf>
    <xf numFmtId="2" fontId="34" fillId="0" borderId="13" xfId="0" applyNumberFormat="1" applyFont="1" applyFill="1" applyBorder="1" applyAlignment="1" applyProtection="1">
      <alignment horizontal="center" vertical="center"/>
    </xf>
    <xf numFmtId="2" fontId="34" fillId="0" borderId="7" xfId="0" applyNumberFormat="1" applyFont="1" applyFill="1" applyBorder="1" applyAlignment="1" applyProtection="1">
      <alignment horizontal="center" vertical="center"/>
    </xf>
    <xf numFmtId="2" fontId="2" fillId="0" borderId="36" xfId="0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45" fillId="0" borderId="61" xfId="6" applyNumberFormat="1" applyFont="1" applyFill="1" applyBorder="1" applyAlignment="1" applyProtection="1">
      <alignment horizontal="center" vertical="center" wrapText="1"/>
      <protection locked="0"/>
    </xf>
    <xf numFmtId="1" fontId="45" fillId="0" borderId="46" xfId="6" quotePrefix="1" applyNumberFormat="1" applyFont="1" applyFill="1" applyBorder="1" applyAlignment="1" applyProtection="1">
      <alignment horizontal="center" vertical="center" wrapText="1"/>
      <protection locked="0"/>
    </xf>
    <xf numFmtId="1" fontId="37" fillId="7" borderId="63" xfId="6" applyNumberFormat="1" applyFont="1" applyFill="1" applyBorder="1" applyAlignment="1" applyProtection="1">
      <alignment vertical="center" wrapText="1"/>
      <protection locked="0"/>
    </xf>
    <xf numFmtId="0" fontId="45" fillId="0" borderId="47" xfId="6" applyNumberFormat="1" applyFont="1" applyFill="1" applyBorder="1" applyAlignment="1" applyProtection="1">
      <alignment horizontal="center" vertical="center" wrapText="1"/>
      <protection locked="0"/>
    </xf>
    <xf numFmtId="0" fontId="37" fillId="0" borderId="64" xfId="6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horizontal="center"/>
      <protection hidden="1"/>
    </xf>
    <xf numFmtId="0" fontId="28" fillId="0" borderId="36" xfId="0" applyFont="1" applyFill="1" applyBorder="1" applyAlignment="1" applyProtection="1">
      <alignment horizontal="center" vertical="center"/>
      <protection hidden="1"/>
    </xf>
    <xf numFmtId="0" fontId="28" fillId="0" borderId="8" xfId="0" applyFont="1" applyFill="1" applyBorder="1" applyAlignment="1" applyProtection="1">
      <alignment horizontal="center" vertical="center"/>
      <protection hidden="1"/>
    </xf>
    <xf numFmtId="0" fontId="25" fillId="0" borderId="36" xfId="0" applyFont="1" applyFill="1" applyBorder="1" applyAlignment="1" applyProtection="1">
      <alignment horizontal="center" vertical="center"/>
      <protection hidden="1"/>
    </xf>
    <xf numFmtId="0" fontId="25" fillId="0" borderId="8" xfId="0" applyFont="1" applyFill="1" applyBorder="1" applyAlignment="1" applyProtection="1">
      <alignment horizontal="center" vertical="center"/>
      <protection hidden="1"/>
    </xf>
    <xf numFmtId="0" fontId="0" fillId="0" borderId="27" xfId="0" applyFill="1" applyBorder="1" applyAlignment="1" applyProtection="1">
      <alignment horizontal="center"/>
      <protection hidden="1"/>
    </xf>
    <xf numFmtId="0" fontId="0" fillId="0" borderId="16" xfId="0" applyFill="1" applyBorder="1" applyAlignment="1" applyProtection="1">
      <alignment horizontal="center"/>
      <protection hidden="1"/>
    </xf>
    <xf numFmtId="0" fontId="30" fillId="0" borderId="0" xfId="0" applyNumberFormat="1" applyFont="1" applyFill="1" applyBorder="1" applyAlignment="1" applyProtection="1">
      <alignment horizontal="center"/>
      <protection hidden="1"/>
    </xf>
    <xf numFmtId="0" fontId="17" fillId="0" borderId="26" xfId="0" applyNumberFormat="1" applyFont="1" applyFill="1" applyBorder="1" applyAlignment="1" applyProtection="1">
      <alignment horizontal="left" vertical="center" indent="2"/>
      <protection hidden="1"/>
    </xf>
    <xf numFmtId="0" fontId="17" fillId="0" borderId="23" xfId="0" applyNumberFormat="1" applyFont="1" applyFill="1" applyBorder="1" applyAlignment="1" applyProtection="1">
      <alignment horizontal="left" vertical="center" indent="2"/>
      <protection hidden="1"/>
    </xf>
    <xf numFmtId="49" fontId="20" fillId="0" borderId="23" xfId="0" applyNumberFormat="1" applyFont="1" applyFill="1" applyBorder="1" applyAlignment="1" applyProtection="1">
      <alignment horizontal="center" vertical="center"/>
      <protection locked="0" hidden="1"/>
    </xf>
    <xf numFmtId="0" fontId="28" fillId="0" borderId="7" xfId="0" applyFont="1" applyFill="1" applyBorder="1" applyAlignment="1" applyProtection="1">
      <alignment horizontal="right" vertical="center"/>
      <protection hidden="1"/>
    </xf>
    <xf numFmtId="0" fontId="0" fillId="0" borderId="27" xfId="0" applyNumberFormat="1" applyFill="1" applyBorder="1" applyAlignment="1" applyProtection="1">
      <alignment horizontal="center"/>
      <protection hidden="1"/>
    </xf>
    <xf numFmtId="0" fontId="0" fillId="0" borderId="16" xfId="0" applyNumberFormat="1" applyFill="1" applyBorder="1" applyAlignment="1" applyProtection="1">
      <alignment horizontal="center"/>
      <protection hidden="1"/>
    </xf>
    <xf numFmtId="0" fontId="20" fillId="0" borderId="23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17" xfId="0" applyNumberFormat="1" applyFont="1" applyFill="1" applyBorder="1" applyAlignment="1" applyProtection="1">
      <alignment horizontal="left" vertical="center" indent="2"/>
      <protection hidden="1"/>
    </xf>
    <xf numFmtId="0" fontId="17" fillId="0" borderId="28" xfId="0" applyNumberFormat="1" applyFont="1" applyFill="1" applyBorder="1" applyAlignment="1" applyProtection="1">
      <alignment horizontal="left" vertical="center" indent="2"/>
      <protection hidden="1"/>
    </xf>
    <xf numFmtId="0" fontId="17" fillId="0" borderId="29" xfId="0" applyNumberFormat="1" applyFont="1" applyFill="1" applyBorder="1" applyAlignment="1" applyProtection="1">
      <alignment horizontal="left" vertical="center" indent="2"/>
      <protection hidden="1"/>
    </xf>
    <xf numFmtId="0" fontId="17" fillId="0" borderId="22" xfId="0" applyNumberFormat="1" applyFont="1" applyFill="1" applyBorder="1" applyAlignment="1" applyProtection="1">
      <alignment horizontal="left" vertical="center" indent="2"/>
      <protection hidden="1"/>
    </xf>
    <xf numFmtId="0" fontId="17" fillId="0" borderId="6" xfId="0" applyNumberFormat="1" applyFont="1" applyFill="1" applyBorder="1" applyAlignment="1" applyProtection="1">
      <alignment horizontal="left" vertical="center" indent="2"/>
      <protection hidden="1"/>
    </xf>
    <xf numFmtId="0" fontId="17" fillId="0" borderId="30" xfId="0" applyNumberFormat="1" applyFont="1" applyFill="1" applyBorder="1" applyAlignment="1" applyProtection="1">
      <alignment horizontal="left" vertical="center" indent="2"/>
      <protection hidden="1"/>
    </xf>
    <xf numFmtId="0" fontId="20" fillId="0" borderId="10" xfId="0" applyNumberFormat="1" applyFont="1" applyFill="1" applyBorder="1" applyAlignment="1" applyProtection="1">
      <alignment horizontal="center" vertical="center"/>
      <protection locked="0" hidden="1"/>
    </xf>
    <xf numFmtId="49" fontId="20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31" fillId="0" borderId="27" xfId="0" applyNumberFormat="1" applyFont="1" applyFill="1" applyBorder="1" applyAlignment="1" applyProtection="1">
      <alignment horizontal="left" vertical="center" wrapText="1" indent="1"/>
      <protection hidden="1"/>
    </xf>
    <xf numFmtId="0" fontId="31" fillId="0" borderId="15" xfId="0" applyNumberFormat="1" applyFont="1" applyFill="1" applyBorder="1" applyAlignment="1" applyProtection="1">
      <alignment horizontal="left" vertical="center" wrapText="1" indent="1"/>
      <protection hidden="1"/>
    </xf>
    <xf numFmtId="0" fontId="31" fillId="0" borderId="16" xfId="0" applyNumberFormat="1" applyFont="1" applyFill="1" applyBorder="1" applyAlignment="1" applyProtection="1">
      <alignment horizontal="left" vertical="center" wrapText="1" indent="1"/>
      <protection hidden="1"/>
    </xf>
    <xf numFmtId="0" fontId="30" fillId="0" borderId="0" xfId="0" applyFont="1" applyFill="1" applyBorder="1" applyAlignment="1" applyProtection="1">
      <alignment horizontal="left"/>
      <protection hidden="1"/>
    </xf>
    <xf numFmtId="0" fontId="0" fillId="0" borderId="15" xfId="0" applyFill="1" applyBorder="1" applyAlignment="1" applyProtection="1">
      <alignment horizontal="center"/>
      <protection hidden="1"/>
    </xf>
    <xf numFmtId="0" fontId="17" fillId="0" borderId="28" xfId="0" applyFont="1" applyFill="1" applyBorder="1" applyAlignment="1" applyProtection="1">
      <alignment horizontal="center" vertical="center"/>
      <protection hidden="1"/>
    </xf>
    <xf numFmtId="0" fontId="17" fillId="0" borderId="6" xfId="0" applyFont="1" applyFill="1" applyBorder="1" applyAlignment="1" applyProtection="1">
      <alignment horizontal="center" vertical="center"/>
      <protection hidden="1"/>
    </xf>
    <xf numFmtId="0" fontId="17" fillId="0" borderId="29" xfId="0" applyFont="1" applyFill="1" applyBorder="1" applyAlignment="1" applyProtection="1">
      <alignment horizontal="center" vertical="center"/>
      <protection hidden="1"/>
    </xf>
    <xf numFmtId="0" fontId="17" fillId="0" borderId="30" xfId="0" applyFont="1" applyFill="1" applyBorder="1" applyAlignment="1" applyProtection="1">
      <alignment horizontal="center" vertical="center"/>
      <protection hidden="1"/>
    </xf>
    <xf numFmtId="0" fontId="25" fillId="0" borderId="7" xfId="0" applyFont="1" applyFill="1" applyBorder="1" applyAlignment="1" applyProtection="1">
      <alignment horizontal="center" vertical="center"/>
      <protection hidden="1"/>
    </xf>
    <xf numFmtId="49" fontId="17" fillId="0" borderId="26" xfId="0" applyNumberFormat="1" applyFont="1" applyFill="1" applyBorder="1" applyAlignment="1" applyProtection="1">
      <alignment horizontal="left" vertical="center" indent="2"/>
      <protection hidden="1"/>
    </xf>
    <xf numFmtId="49" fontId="17" fillId="0" borderId="23" xfId="0" applyNumberFormat="1" applyFont="1" applyFill="1" applyBorder="1" applyAlignment="1" applyProtection="1">
      <alignment horizontal="left" vertical="center" indent="2"/>
      <protection hidden="1"/>
    </xf>
    <xf numFmtId="0" fontId="20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 applyProtection="1">
      <alignment horizontal="right"/>
      <protection hidden="1"/>
    </xf>
    <xf numFmtId="0" fontId="17" fillId="0" borderId="0" xfId="0" applyNumberFormat="1" applyFont="1" applyFill="1" applyBorder="1" applyAlignment="1" applyProtection="1">
      <alignment horizontal="left" vertical="center" indent="2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22" fillId="0" borderId="17" xfId="0" applyFont="1" applyFill="1" applyBorder="1" applyAlignment="1" applyProtection="1">
      <alignment horizontal="center" vertical="center"/>
      <protection hidden="1"/>
    </xf>
    <xf numFmtId="0" fontId="22" fillId="0" borderId="22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9" xfId="0" applyFont="1" applyFill="1" applyBorder="1" applyAlignment="1" applyProtection="1">
      <alignment horizontal="center" vertical="center"/>
      <protection hidden="1"/>
    </xf>
    <xf numFmtId="0" fontId="29" fillId="0" borderId="13" xfId="0" applyFont="1" applyFill="1" applyBorder="1" applyAlignment="1" applyProtection="1">
      <alignment horizontal="center" vertical="center"/>
      <protection hidden="1"/>
    </xf>
    <xf numFmtId="0" fontId="29" fillId="0" borderId="9" xfId="0" applyFont="1" applyFill="1" applyBorder="1" applyAlignment="1" applyProtection="1">
      <alignment horizontal="center" vertical="center"/>
      <protection hidden="1"/>
    </xf>
    <xf numFmtId="0" fontId="0" fillId="0" borderId="0" xfId="0" applyNumberFormat="1" applyFill="1" applyBorder="1" applyAlignment="1" applyProtection="1">
      <alignment horizontal="center"/>
      <protection hidden="1"/>
    </xf>
    <xf numFmtId="0" fontId="28" fillId="0" borderId="8" xfId="0" applyFont="1" applyFill="1" applyBorder="1" applyAlignment="1" applyProtection="1">
      <alignment horizontal="right" vertical="center"/>
      <protection hidden="1"/>
    </xf>
    <xf numFmtId="0" fontId="20" fillId="0" borderId="0" xfId="0" applyNumberFormat="1" applyFont="1" applyFill="1" applyBorder="1" applyAlignment="1" applyProtection="1">
      <alignment horizontal="center" vertical="center"/>
      <protection locked="0" hidden="1"/>
    </xf>
    <xf numFmtId="49" fontId="17" fillId="0" borderId="24" xfId="0" applyNumberFormat="1" applyFont="1" applyFill="1" applyBorder="1" applyAlignment="1" applyProtection="1">
      <alignment horizontal="center" vertical="center"/>
      <protection hidden="1"/>
    </xf>
    <xf numFmtId="49" fontId="17" fillId="0" borderId="25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24" xfId="0" applyFont="1" applyFill="1" applyBorder="1" applyAlignment="1" applyProtection="1">
      <alignment horizontal="center" vertical="center"/>
      <protection hidden="1"/>
    </xf>
    <xf numFmtId="0" fontId="22" fillId="0" borderId="25" xfId="0" applyFont="1" applyFill="1" applyBorder="1" applyAlignment="1" applyProtection="1">
      <alignment horizontal="center" vertical="center"/>
      <protection hidden="1"/>
    </xf>
    <xf numFmtId="0" fontId="0" fillId="0" borderId="17" xfId="0" applyFill="1" applyBorder="1" applyAlignment="1" applyProtection="1">
      <alignment horizontal="center" vertical="center"/>
      <protection hidden="1"/>
    </xf>
    <xf numFmtId="0" fontId="0" fillId="0" borderId="29" xfId="0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0" fontId="0" fillId="0" borderId="30" xfId="0" applyFill="1" applyBorder="1" applyAlignment="1" applyProtection="1">
      <alignment horizontal="center" vertical="center"/>
      <protection hidden="1"/>
    </xf>
    <xf numFmtId="0" fontId="0" fillId="0" borderId="17" xfId="0" applyFill="1" applyBorder="1" applyAlignment="1" applyProtection="1">
      <alignment horizontal="center" vertical="center"/>
      <protection locked="0" hidden="1"/>
    </xf>
    <xf numFmtId="0" fontId="0" fillId="0" borderId="29" xfId="0" applyFill="1" applyBorder="1" applyAlignment="1" applyProtection="1">
      <alignment horizontal="center" vertical="center"/>
      <protection locked="0" hidden="1"/>
    </xf>
    <xf numFmtId="0" fontId="0" fillId="0" borderId="22" xfId="0" applyFill="1" applyBorder="1" applyAlignment="1" applyProtection="1">
      <alignment horizontal="center" vertical="center"/>
      <protection locked="0" hidden="1"/>
    </xf>
    <xf numFmtId="0" fontId="0" fillId="0" borderId="30" xfId="0" applyFill="1" applyBorder="1" applyAlignment="1" applyProtection="1">
      <alignment horizontal="center" vertical="center"/>
      <protection locked="0" hidden="1"/>
    </xf>
    <xf numFmtId="0" fontId="17" fillId="0" borderId="0" xfId="0" applyFont="1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/>
      <protection hidden="1"/>
    </xf>
    <xf numFmtId="0" fontId="35" fillId="0" borderId="27" xfId="0" applyNumberFormat="1" applyFont="1" applyFill="1" applyBorder="1" applyAlignment="1" applyProtection="1">
      <alignment horizontal="left" vertical="center" wrapText="1" indent="1"/>
      <protection hidden="1"/>
    </xf>
    <xf numFmtId="0" fontId="35" fillId="0" borderId="15" xfId="0" applyNumberFormat="1" applyFont="1" applyFill="1" applyBorder="1" applyAlignment="1" applyProtection="1">
      <alignment horizontal="left" vertical="center" wrapText="1" indent="1"/>
      <protection hidden="1"/>
    </xf>
    <xf numFmtId="0" fontId="35" fillId="0" borderId="16" xfId="0" applyNumberFormat="1" applyFont="1" applyFill="1" applyBorder="1" applyAlignment="1" applyProtection="1">
      <alignment horizontal="left" vertical="center" wrapText="1" indent="1"/>
      <protection hidden="1"/>
    </xf>
    <xf numFmtId="0" fontId="30" fillId="0" borderId="0" xfId="0" applyFont="1" applyFill="1" applyBorder="1" applyAlignment="1" applyProtection="1">
      <alignment horizontal="center"/>
      <protection hidden="1"/>
    </xf>
    <xf numFmtId="0" fontId="27" fillId="0" borderId="24" xfId="0" applyNumberFormat="1" applyFont="1" applyFill="1" applyBorder="1" applyAlignment="1" applyProtection="1">
      <alignment horizontal="center" vertical="center"/>
      <protection hidden="1"/>
    </xf>
    <xf numFmtId="0" fontId="27" fillId="0" borderId="25" xfId="0" applyNumberFormat="1" applyFont="1" applyFill="1" applyBorder="1" applyAlignment="1" applyProtection="1">
      <alignment horizontal="center" vertical="center"/>
      <protection hidden="1"/>
    </xf>
    <xf numFmtId="0" fontId="28" fillId="0" borderId="9" xfId="0" applyFont="1" applyFill="1" applyBorder="1" applyAlignment="1" applyProtection="1">
      <alignment horizontal="right" vertical="center"/>
      <protection hidden="1"/>
    </xf>
    <xf numFmtId="0" fontId="31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8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9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1" fillId="0" borderId="3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17" xfId="0" applyNumberFormat="1" applyFont="1" applyFill="1" applyBorder="1" applyAlignment="1" applyProtection="1">
      <alignment horizontal="center" vertical="center"/>
      <protection hidden="1"/>
    </xf>
    <xf numFmtId="0" fontId="17" fillId="0" borderId="28" xfId="0" applyNumberFormat="1" applyFont="1" applyFill="1" applyBorder="1" applyAlignment="1" applyProtection="1">
      <alignment horizontal="center" vertical="center"/>
      <protection hidden="1"/>
    </xf>
    <xf numFmtId="0" fontId="17" fillId="0" borderId="29" xfId="0" applyNumberFormat="1" applyFont="1" applyFill="1" applyBorder="1" applyAlignment="1" applyProtection="1">
      <alignment horizontal="center" vertical="center"/>
      <protection hidden="1"/>
    </xf>
    <xf numFmtId="0" fontId="17" fillId="0" borderId="22" xfId="0" applyNumberFormat="1" applyFont="1" applyFill="1" applyBorder="1" applyAlignment="1" applyProtection="1">
      <alignment horizontal="center" vertical="center"/>
      <protection hidden="1"/>
    </xf>
    <xf numFmtId="0" fontId="17" fillId="0" borderId="6" xfId="0" applyNumberFormat="1" applyFont="1" applyFill="1" applyBorder="1" applyAlignment="1" applyProtection="1">
      <alignment horizontal="center" vertical="center"/>
      <protection hidden="1"/>
    </xf>
    <xf numFmtId="0" fontId="17" fillId="0" borderId="30" xfId="0" applyNumberFormat="1" applyFont="1" applyFill="1" applyBorder="1" applyAlignment="1" applyProtection="1">
      <alignment horizontal="center" vertical="center"/>
      <protection hidden="1"/>
    </xf>
    <xf numFmtId="0" fontId="0" fillId="0" borderId="17" xfId="0" applyNumberFormat="1" applyFill="1" applyBorder="1" applyAlignment="1" applyProtection="1">
      <alignment horizontal="center"/>
      <protection hidden="1"/>
    </xf>
    <xf numFmtId="0" fontId="0" fillId="0" borderId="28" xfId="0" applyNumberFormat="1" applyFill="1" applyBorder="1" applyAlignment="1" applyProtection="1">
      <alignment horizontal="center"/>
      <protection hidden="1"/>
    </xf>
    <xf numFmtId="0" fontId="0" fillId="0" borderId="29" xfId="0" applyNumberFormat="1" applyFill="1" applyBorder="1" applyAlignment="1" applyProtection="1">
      <alignment horizontal="center"/>
      <protection hidden="1"/>
    </xf>
    <xf numFmtId="0" fontId="0" fillId="0" borderId="22" xfId="0" applyNumberFormat="1" applyFill="1" applyBorder="1" applyAlignment="1" applyProtection="1">
      <alignment horizontal="center"/>
      <protection hidden="1"/>
    </xf>
    <xf numFmtId="0" fontId="0" fillId="0" borderId="6" xfId="0" applyNumberFormat="1" applyFill="1" applyBorder="1" applyAlignment="1" applyProtection="1">
      <alignment horizontal="center"/>
      <protection hidden="1"/>
    </xf>
    <xf numFmtId="0" fontId="0" fillId="0" borderId="30" xfId="0" applyNumberFormat="1" applyFill="1" applyBorder="1" applyAlignment="1" applyProtection="1">
      <alignment horizontal="center"/>
      <protection hidden="1"/>
    </xf>
    <xf numFmtId="0" fontId="26" fillId="0" borderId="10" xfId="0" applyFont="1" applyFill="1" applyBorder="1" applyAlignment="1" applyProtection="1">
      <alignment horizontal="center" vertical="center"/>
      <protection hidden="1"/>
    </xf>
    <xf numFmtId="0" fontId="26" fillId="0" borderId="14" xfId="0" applyFont="1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center"/>
      <protection hidden="1"/>
    </xf>
    <xf numFmtId="10" fontId="0" fillId="0" borderId="10" xfId="0" applyNumberFormat="1" applyBorder="1" applyAlignment="1" applyProtection="1">
      <alignment horizontal="center" vertical="center"/>
      <protection locked="0"/>
    </xf>
    <xf numFmtId="10" fontId="0" fillId="0" borderId="21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hidden="1"/>
    </xf>
    <xf numFmtId="0" fontId="0" fillId="0" borderId="23" xfId="0" applyFill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10" xfId="0" applyNumberFormat="1" applyBorder="1" applyAlignment="1" applyProtection="1">
      <alignment horizontal="center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33" fillId="5" borderId="15" xfId="0" applyFont="1" applyFill="1" applyBorder="1" applyAlignment="1" applyProtection="1">
      <alignment horizontal="center" vertical="center"/>
      <protection locked="0"/>
    </xf>
    <xf numFmtId="49" fontId="33" fillId="5" borderId="15" xfId="0" applyNumberFormat="1" applyFont="1" applyFill="1" applyBorder="1" applyAlignment="1" applyProtection="1">
      <alignment horizontal="center" vertical="center"/>
      <protection locked="0"/>
    </xf>
    <xf numFmtId="0" fontId="12" fillId="0" borderId="6" xfId="4" applyFont="1" applyFill="1" applyBorder="1" applyAlignment="1">
      <alignment horizontal="left" vertical="center" wrapText="1"/>
    </xf>
    <xf numFmtId="1" fontId="45" fillId="0" borderId="47" xfId="6" quotePrefix="1" applyNumberFormat="1" applyFont="1" applyFill="1" applyBorder="1" applyAlignment="1" applyProtection="1">
      <alignment horizontal="center" vertical="center" wrapText="1"/>
      <protection locked="0"/>
    </xf>
    <xf numFmtId="0" fontId="42" fillId="8" borderId="51" xfId="6" applyFont="1" applyFill="1" applyBorder="1" applyAlignment="1" applyProtection="1">
      <protection locked="0"/>
    </xf>
    <xf numFmtId="0" fontId="42" fillId="8" borderId="11" xfId="6" applyFont="1" applyFill="1" applyBorder="1" applyAlignment="1" applyProtection="1">
      <alignment wrapText="1"/>
      <protection locked="0"/>
    </xf>
    <xf numFmtId="0" fontId="0" fillId="0" borderId="66" xfId="0" applyBorder="1" applyProtection="1">
      <protection locked="0"/>
    </xf>
    <xf numFmtId="0" fontId="36" fillId="0" borderId="47" xfId="6" applyFont="1" applyFill="1" applyBorder="1" applyAlignment="1" applyProtection="1">
      <alignment horizontal="center" vertical="center" wrapText="1"/>
      <protection locked="0"/>
    </xf>
    <xf numFmtId="0" fontId="37" fillId="0" borderId="48" xfId="6" applyFont="1" applyFill="1" applyBorder="1" applyAlignment="1" applyProtection="1">
      <alignment vertical="center" wrapText="1"/>
      <protection locked="0"/>
    </xf>
    <xf numFmtId="0" fontId="37" fillId="0" borderId="49" xfId="6" applyFont="1" applyFill="1" applyBorder="1" applyAlignment="1" applyProtection="1">
      <alignment horizontal="center" vertical="center" wrapText="1"/>
      <protection locked="0"/>
    </xf>
    <xf numFmtId="0" fontId="37" fillId="0" borderId="49" xfId="6" applyFont="1" applyFill="1" applyBorder="1" applyAlignment="1" applyProtection="1">
      <alignment vertical="center" wrapText="1"/>
      <protection locked="0"/>
    </xf>
    <xf numFmtId="0" fontId="38" fillId="0" borderId="35" xfId="6" applyFont="1" applyFill="1" applyBorder="1" applyAlignment="1" applyProtection="1">
      <alignment horizontal="center" wrapText="1"/>
      <protection locked="0"/>
    </xf>
    <xf numFmtId="0" fontId="39" fillId="0" borderId="47" xfId="6" applyFont="1" applyFill="1" applyBorder="1" applyAlignment="1" applyProtection="1">
      <alignment vertical="center" wrapText="1"/>
      <protection locked="0"/>
    </xf>
    <xf numFmtId="0" fontId="39" fillId="0" borderId="47" xfId="6" applyFont="1" applyFill="1" applyBorder="1" applyAlignment="1" applyProtection="1">
      <alignment horizontal="center" vertical="center" wrapText="1"/>
      <protection locked="0"/>
    </xf>
    <xf numFmtId="0" fontId="24" fillId="0" borderId="19" xfId="6" applyFont="1" applyBorder="1" applyAlignment="1" applyProtection="1">
      <alignment horizontal="center" wrapText="1"/>
      <protection locked="0"/>
    </xf>
    <xf numFmtId="0" fontId="37" fillId="0" borderId="50" xfId="6" applyFont="1" applyFill="1" applyBorder="1" applyAlignment="1" applyProtection="1">
      <alignment horizontal="center" vertical="center" wrapText="1"/>
      <protection locked="0"/>
    </xf>
    <xf numFmtId="0" fontId="37" fillId="0" borderId="50" xfId="6" applyFont="1" applyFill="1" applyBorder="1" applyAlignment="1" applyProtection="1">
      <alignment vertical="center" wrapText="1"/>
      <protection locked="0"/>
    </xf>
    <xf numFmtId="1" fontId="37" fillId="0" borderId="65" xfId="6" applyNumberFormat="1" applyFont="1" applyFill="1" applyBorder="1" applyAlignment="1" applyProtection="1">
      <alignment vertical="center" wrapText="1"/>
      <protection locked="0"/>
    </xf>
    <xf numFmtId="0" fontId="38" fillId="0" borderId="51" xfId="6" applyFont="1" applyFill="1" applyBorder="1" applyAlignment="1" applyProtection="1">
      <alignment horizontal="center" wrapText="1"/>
      <protection locked="0"/>
    </xf>
    <xf numFmtId="0" fontId="39" fillId="0" borderId="52" xfId="6" applyFont="1" applyFill="1" applyBorder="1" applyAlignment="1" applyProtection="1">
      <alignment horizontal="center" vertical="center" wrapText="1"/>
      <protection locked="0"/>
    </xf>
    <xf numFmtId="1" fontId="45" fillId="0" borderId="52" xfId="6" quotePrefix="1" applyNumberFormat="1" applyFont="1" applyFill="1" applyBorder="1" applyAlignment="1" applyProtection="1">
      <alignment horizontal="center" vertical="center" wrapText="1"/>
      <protection locked="0"/>
    </xf>
    <xf numFmtId="0" fontId="37" fillId="0" borderId="35" xfId="6" applyFont="1" applyFill="1" applyBorder="1" applyAlignment="1" applyProtection="1">
      <alignment horizontal="left" vertical="center"/>
      <protection locked="0"/>
    </xf>
    <xf numFmtId="0" fontId="24" fillId="0" borderId="0" xfId="6" applyFont="1" applyBorder="1" applyAlignment="1" applyProtection="1">
      <alignment wrapText="1"/>
      <protection locked="0"/>
    </xf>
    <xf numFmtId="0" fontId="37" fillId="0" borderId="53" xfId="6" applyFont="1" applyFill="1" applyBorder="1" applyAlignment="1" applyProtection="1">
      <alignment vertical="center" wrapText="1"/>
      <protection locked="0"/>
    </xf>
    <xf numFmtId="0" fontId="38" fillId="0" borderId="20" xfId="6" applyFont="1" applyFill="1" applyBorder="1" applyAlignment="1" applyProtection="1">
      <alignment horizontal="center" wrapText="1"/>
      <protection locked="0"/>
    </xf>
    <xf numFmtId="0" fontId="39" fillId="0" borderId="46" xfId="6" applyFont="1" applyFill="1" applyBorder="1" applyAlignment="1" applyProtection="1">
      <alignment horizontal="center" vertical="center" wrapText="1"/>
      <protection locked="0"/>
    </xf>
    <xf numFmtId="0" fontId="39" fillId="0" borderId="35" xfId="6" applyFont="1" applyFill="1" applyBorder="1" applyAlignment="1" applyProtection="1">
      <alignment vertical="center" wrapText="1"/>
      <protection locked="0"/>
    </xf>
    <xf numFmtId="0" fontId="38" fillId="0" borderId="54" xfId="6" applyFont="1" applyFill="1" applyBorder="1" applyAlignment="1" applyProtection="1">
      <alignment horizontal="center" wrapText="1"/>
      <protection locked="0"/>
    </xf>
    <xf numFmtId="0" fontId="39" fillId="0" borderId="55" xfId="6" applyFont="1" applyFill="1" applyBorder="1" applyAlignment="1" applyProtection="1">
      <alignment vertical="center" wrapText="1"/>
      <protection locked="0"/>
    </xf>
    <xf numFmtId="0" fontId="39" fillId="0" borderId="55" xfId="6" applyFont="1" applyFill="1" applyBorder="1" applyAlignment="1" applyProtection="1">
      <alignment horizontal="center" vertical="center" wrapText="1"/>
      <protection locked="0"/>
    </xf>
    <xf numFmtId="2" fontId="45" fillId="0" borderId="62" xfId="6" quotePrefix="1" applyNumberFormat="1" applyFont="1" applyFill="1" applyBorder="1" applyAlignment="1" applyProtection="1">
      <alignment horizontal="center" vertical="center" wrapText="1"/>
      <protection locked="0"/>
    </xf>
    <xf numFmtId="0" fontId="37" fillId="0" borderId="56" xfId="6" applyFont="1" applyFill="1" applyBorder="1" applyAlignment="1" applyProtection="1">
      <alignment horizontal="left" vertical="center"/>
      <protection locked="0"/>
    </xf>
    <xf numFmtId="0" fontId="24" fillId="0" borderId="57" xfId="6" applyFont="1" applyBorder="1" applyAlignment="1" applyProtection="1">
      <alignment wrapText="1"/>
      <protection locked="0"/>
    </xf>
    <xf numFmtId="0" fontId="37" fillId="7" borderId="57" xfId="6" applyFont="1" applyFill="1" applyBorder="1" applyAlignment="1" applyProtection="1">
      <alignment vertical="center" wrapText="1"/>
      <protection locked="0"/>
    </xf>
    <xf numFmtId="0" fontId="39" fillId="0" borderId="46" xfId="6" applyFont="1" applyFill="1" applyBorder="1" applyAlignment="1" applyProtection="1">
      <alignment vertical="center" wrapText="1"/>
      <protection locked="0"/>
    </xf>
    <xf numFmtId="0" fontId="39" fillId="0" borderId="62" xfId="6" applyFont="1" applyFill="1" applyBorder="1" applyAlignment="1" applyProtection="1">
      <alignment vertical="center" wrapText="1"/>
      <protection locked="0"/>
    </xf>
    <xf numFmtId="0" fontId="24" fillId="0" borderId="19" xfId="6" applyFont="1" applyFill="1" applyBorder="1" applyAlignment="1" applyProtection="1">
      <alignment horizontal="center" wrapText="1"/>
      <protection locked="0"/>
    </xf>
    <xf numFmtId="0" fontId="40" fillId="7" borderId="12" xfId="6" applyFont="1" applyFill="1" applyBorder="1" applyAlignment="1" applyProtection="1">
      <alignment horizontal="center" vertical="center" wrapText="1"/>
      <protection locked="0"/>
    </xf>
    <xf numFmtId="0" fontId="40" fillId="7" borderId="12" xfId="6" applyFont="1" applyFill="1" applyBorder="1" applyAlignment="1" applyProtection="1">
      <alignment vertical="center" wrapText="1"/>
      <protection locked="0"/>
    </xf>
    <xf numFmtId="0" fontId="40" fillId="7" borderId="67" xfId="6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Protection="1">
      <protection locked="0"/>
    </xf>
  </cellXfs>
  <cellStyles count="7">
    <cellStyle name="Обычный" xfId="0" builtinId="0"/>
    <cellStyle name="Обычный 2" xfId="1"/>
    <cellStyle name="Обычный 2 2" xfId="3"/>
    <cellStyle name="Обычный 2 3 2" xfId="6"/>
    <cellStyle name="Обычный 3" xfId="2"/>
    <cellStyle name="Обычный_Приложения  ворота" xfId="4"/>
    <cellStyle name="Процентный" xfId="5" builtinId="5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3" Type="http://schemas.openxmlformats.org/officeDocument/2006/relationships/image" Target="../media/image9.emf"/><Relationship Id="rId7" Type="http://schemas.openxmlformats.org/officeDocument/2006/relationships/image" Target="../media/image1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12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2.emf"/><Relationship Id="rId13" Type="http://schemas.openxmlformats.org/officeDocument/2006/relationships/image" Target="../media/image27.emf"/><Relationship Id="rId3" Type="http://schemas.openxmlformats.org/officeDocument/2006/relationships/image" Target="../media/image17.emf"/><Relationship Id="rId7" Type="http://schemas.openxmlformats.org/officeDocument/2006/relationships/image" Target="../media/image21.emf"/><Relationship Id="rId12" Type="http://schemas.openxmlformats.org/officeDocument/2006/relationships/image" Target="../media/image26.emf"/><Relationship Id="rId2" Type="http://schemas.openxmlformats.org/officeDocument/2006/relationships/image" Target="../media/image16.emf"/><Relationship Id="rId1" Type="http://schemas.openxmlformats.org/officeDocument/2006/relationships/image" Target="../media/image15.emf"/><Relationship Id="rId6" Type="http://schemas.openxmlformats.org/officeDocument/2006/relationships/image" Target="../media/image20.emf"/><Relationship Id="rId11" Type="http://schemas.openxmlformats.org/officeDocument/2006/relationships/image" Target="../media/image25.emf"/><Relationship Id="rId5" Type="http://schemas.openxmlformats.org/officeDocument/2006/relationships/image" Target="../media/image19.emf"/><Relationship Id="rId10" Type="http://schemas.openxmlformats.org/officeDocument/2006/relationships/image" Target="../media/image24.emf"/><Relationship Id="rId4" Type="http://schemas.openxmlformats.org/officeDocument/2006/relationships/image" Target="../media/image18.emf"/><Relationship Id="rId9" Type="http://schemas.openxmlformats.org/officeDocument/2006/relationships/image" Target="../media/image23.emf"/><Relationship Id="rId14" Type="http://schemas.openxmlformats.org/officeDocument/2006/relationships/image" Target="../media/image2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127</xdr:row>
          <xdr:rowOff>123825</xdr:rowOff>
        </xdr:from>
        <xdr:to>
          <xdr:col>12</xdr:col>
          <xdr:colOff>619125</xdr:colOff>
          <xdr:row>136</xdr:row>
          <xdr:rowOff>19050</xdr:rowOff>
        </xdr:to>
        <xdr:sp macro="" textlink="">
          <xdr:nvSpPr>
            <xdr:cNvPr id="5144" name="Object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168</xdr:row>
          <xdr:rowOff>66675</xdr:rowOff>
        </xdr:from>
        <xdr:to>
          <xdr:col>12</xdr:col>
          <xdr:colOff>638175</xdr:colOff>
          <xdr:row>176</xdr:row>
          <xdr:rowOff>161925</xdr:rowOff>
        </xdr:to>
        <xdr:sp macro="" textlink="">
          <xdr:nvSpPr>
            <xdr:cNvPr id="5145" name="Object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1438275</xdr:colOff>
          <xdr:row>126</xdr:row>
          <xdr:rowOff>152400</xdr:rowOff>
        </xdr:from>
        <xdr:to>
          <xdr:col>3</xdr:col>
          <xdr:colOff>1314450</xdr:colOff>
          <xdr:row>132</xdr:row>
          <xdr:rowOff>95250</xdr:rowOff>
        </xdr:to>
        <xdr:pic>
          <xdr:nvPicPr>
            <xdr:cNvPr id="5514" name="Picture 15"/>
            <xdr:cNvPicPr>
              <a:picLocks noChangeArrowheads="1"/>
              <a:extLst>
                <a:ext uri="{84589F7E-364E-4C9E-8A38-B11213B215E9}">
                  <a14:cameraTool cellRange="фото2" spid="_x0000_s5552"/>
                </a:ext>
              </a:extLst>
            </xdr:cNvPicPr>
          </xdr:nvPicPr>
          <xdr:blipFill>
            <a:blip xmlns:r="http://schemas.openxmlformats.org/officeDocument/2006/relationships" r:embed="rId1"/>
            <a:srcRect l="980" t="1979" r="38953" b="1608"/>
            <a:stretch>
              <a:fillRect/>
            </a:stretch>
          </xdr:blipFill>
          <xdr:spPr bwMode="auto">
            <a:xfrm>
              <a:off x="3409950" y="9182100"/>
              <a:ext cx="1924050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167</xdr:row>
          <xdr:rowOff>152400</xdr:rowOff>
        </xdr:from>
        <xdr:to>
          <xdr:col>4</xdr:col>
          <xdr:colOff>1190625</xdr:colOff>
          <xdr:row>177</xdr:row>
          <xdr:rowOff>85725</xdr:rowOff>
        </xdr:to>
        <xdr:pic>
          <xdr:nvPicPr>
            <xdr:cNvPr id="5515" name="Picture 17"/>
            <xdr:cNvPicPr>
              <a:picLocks noChangeArrowheads="1"/>
              <a:extLst>
                <a:ext uri="{84589F7E-364E-4C9E-8A38-B11213B215E9}">
                  <a14:cameraTool cellRange="фото3" spid="_x0000_s5553"/>
                </a:ext>
              </a:extLst>
            </xdr:cNvPicPr>
          </xdr:nvPicPr>
          <xdr:blipFill>
            <a:blip xmlns:r="http://schemas.openxmlformats.org/officeDocument/2006/relationships" r:embed="rId2"/>
            <a:srcRect l="980" t="1979" r="1593" b="1608"/>
            <a:stretch>
              <a:fillRect/>
            </a:stretch>
          </xdr:blipFill>
          <xdr:spPr bwMode="auto">
            <a:xfrm>
              <a:off x="4067175" y="16964025"/>
              <a:ext cx="2524125" cy="1838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135</xdr:row>
          <xdr:rowOff>66675</xdr:rowOff>
        </xdr:from>
        <xdr:to>
          <xdr:col>11</xdr:col>
          <xdr:colOff>628650</xdr:colOff>
          <xdr:row>166</xdr:row>
          <xdr:rowOff>180975</xdr:rowOff>
        </xdr:to>
        <xdr:pic>
          <xdr:nvPicPr>
            <xdr:cNvPr id="5516" name="Picture 19"/>
            <xdr:cNvPicPr>
              <a:picLocks noChangeArrowheads="1"/>
              <a:extLst>
                <a:ext uri="{84589F7E-364E-4C9E-8A38-B11213B215E9}">
                  <a14:cameraTool cellRange="Фото" spid="_x0000_s5554"/>
                </a:ext>
              </a:extLst>
            </xdr:cNvPicPr>
          </xdr:nvPicPr>
          <xdr:blipFill>
            <a:blip xmlns:r="http://schemas.openxmlformats.org/officeDocument/2006/relationships" r:embed="rId3"/>
            <a:srcRect l="3873" t="1979" r="13849" b="1608"/>
            <a:stretch>
              <a:fillRect/>
            </a:stretch>
          </xdr:blipFill>
          <xdr:spPr bwMode="auto">
            <a:xfrm>
              <a:off x="628650" y="10810875"/>
              <a:ext cx="11734800" cy="5991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126</xdr:row>
          <xdr:rowOff>85725</xdr:rowOff>
        </xdr:from>
        <xdr:to>
          <xdr:col>2</xdr:col>
          <xdr:colOff>257175</xdr:colOff>
          <xdr:row>132</xdr:row>
          <xdr:rowOff>28575</xdr:rowOff>
        </xdr:to>
        <xdr:pic>
          <xdr:nvPicPr>
            <xdr:cNvPr id="5517" name="Picture 20"/>
            <xdr:cNvPicPr>
              <a:picLocks noChangeArrowheads="1"/>
              <a:extLst>
                <a:ext uri="{84589F7E-364E-4C9E-8A38-B11213B215E9}">
                  <a14:cameraTool cellRange="фото4" spid="_x0000_s5555"/>
                </a:ext>
              </a:extLst>
            </xdr:cNvPicPr>
          </xdr:nvPicPr>
          <xdr:blipFill>
            <a:blip xmlns:r="http://schemas.openxmlformats.org/officeDocument/2006/relationships" r:embed="rId4"/>
            <a:srcRect l="980" t="1979" r="38953" b="1608"/>
            <a:stretch>
              <a:fillRect/>
            </a:stretch>
          </xdr:blipFill>
          <xdr:spPr bwMode="auto">
            <a:xfrm>
              <a:off x="295275" y="9115425"/>
              <a:ext cx="1933575" cy="10858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167</xdr:row>
          <xdr:rowOff>47625</xdr:rowOff>
        </xdr:from>
        <xdr:to>
          <xdr:col>2</xdr:col>
          <xdr:colOff>952500</xdr:colOff>
          <xdr:row>175</xdr:row>
          <xdr:rowOff>180975</xdr:rowOff>
        </xdr:to>
        <xdr:pic>
          <xdr:nvPicPr>
            <xdr:cNvPr id="5518" name="Picture 28"/>
            <xdr:cNvPicPr>
              <a:picLocks noChangeArrowheads="1"/>
              <a:extLst>
                <a:ext uri="{84589F7E-364E-4C9E-8A38-B11213B215E9}">
                  <a14:cameraTool cellRange="фото5" spid="_x0000_s5556"/>
                </a:ext>
              </a:extLst>
            </xdr:cNvPicPr>
          </xdr:nvPicPr>
          <xdr:blipFill>
            <a:blip xmlns:r="http://schemas.openxmlformats.org/officeDocument/2006/relationships" r:embed="rId5"/>
            <a:srcRect l="980" t="981" r="1959" b="1608"/>
            <a:stretch>
              <a:fillRect/>
            </a:stretch>
          </xdr:blipFill>
          <xdr:spPr bwMode="auto">
            <a:xfrm>
              <a:off x="628650" y="16859250"/>
              <a:ext cx="2295525" cy="16573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167</xdr:row>
          <xdr:rowOff>180975</xdr:rowOff>
        </xdr:from>
        <xdr:to>
          <xdr:col>7</xdr:col>
          <xdr:colOff>561975</xdr:colOff>
          <xdr:row>177</xdr:row>
          <xdr:rowOff>114300</xdr:rowOff>
        </xdr:to>
        <xdr:pic>
          <xdr:nvPicPr>
            <xdr:cNvPr id="5519" name="Picture 283"/>
            <xdr:cNvPicPr>
              <a:picLocks noChangeArrowheads="1"/>
              <a:extLst>
                <a:ext uri="{84589F7E-364E-4C9E-8A38-B11213B215E9}">
                  <a14:cameraTool cellRange="фото6" spid="_x0000_s5557"/>
                </a:ext>
              </a:extLst>
            </xdr:cNvPicPr>
          </xdr:nvPicPr>
          <xdr:blipFill>
            <a:blip xmlns:r="http://schemas.openxmlformats.org/officeDocument/2006/relationships" r:embed="rId6"/>
            <a:srcRect l="980" t="1979" r="1593" b="1608"/>
            <a:stretch>
              <a:fillRect/>
            </a:stretch>
          </xdr:blipFill>
          <xdr:spPr bwMode="auto">
            <a:xfrm>
              <a:off x="6915150" y="16992600"/>
              <a:ext cx="2524125" cy="1838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</xdr:row>
      <xdr:rowOff>9525</xdr:rowOff>
    </xdr:from>
    <xdr:to>
      <xdr:col>3</xdr:col>
      <xdr:colOff>9525</xdr:colOff>
      <xdr:row>2</xdr:row>
      <xdr:rowOff>1000125</xdr:rowOff>
    </xdr:to>
    <xdr:pic>
      <xdr:nvPicPr>
        <xdr:cNvPr id="1156" name="Picture 132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1343025"/>
          <a:ext cx="257175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</xdr:row>
          <xdr:rowOff>9525</xdr:rowOff>
        </xdr:from>
        <xdr:to>
          <xdr:col>2</xdr:col>
          <xdr:colOff>2371725</xdr:colOff>
          <xdr:row>2</xdr:row>
          <xdr:rowOff>0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1495425</xdr:colOff>
          <xdr:row>7</xdr:row>
          <xdr:rowOff>1000125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</xdr:row>
          <xdr:rowOff>0</xdr:rowOff>
        </xdr:from>
        <xdr:to>
          <xdr:col>2</xdr:col>
          <xdr:colOff>1352550</xdr:colOff>
          <xdr:row>8</xdr:row>
          <xdr:rowOff>904875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0</xdr:rowOff>
        </xdr:from>
        <xdr:to>
          <xdr:col>2</xdr:col>
          <xdr:colOff>1619250</xdr:colOff>
          <xdr:row>9</xdr:row>
          <xdr:rowOff>933450</xdr:rowOff>
        </xdr:to>
        <xdr:sp macro="" textlink="">
          <xdr:nvSpPr>
            <xdr:cNvPr id="1161" name="Object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0</xdr:rowOff>
        </xdr:from>
        <xdr:to>
          <xdr:col>2</xdr:col>
          <xdr:colOff>1209675</xdr:colOff>
          <xdr:row>13</xdr:row>
          <xdr:rowOff>1276350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9525</xdr:rowOff>
        </xdr:from>
        <xdr:to>
          <xdr:col>2</xdr:col>
          <xdr:colOff>1190625</xdr:colOff>
          <xdr:row>14</xdr:row>
          <xdr:rowOff>1247775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9525</xdr:rowOff>
        </xdr:from>
        <xdr:to>
          <xdr:col>2</xdr:col>
          <xdr:colOff>1219200</xdr:colOff>
          <xdr:row>15</xdr:row>
          <xdr:rowOff>1314450</xdr:rowOff>
        </xdr:to>
        <xdr:sp macro="" textlink="">
          <xdr:nvSpPr>
            <xdr:cNvPr id="1164" name="Object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2</xdr:col>
          <xdr:colOff>1209675</xdr:colOff>
          <xdr:row>16</xdr:row>
          <xdr:rowOff>1895475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1219200</xdr:colOff>
          <xdr:row>17</xdr:row>
          <xdr:rowOff>1876425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20</xdr:row>
          <xdr:rowOff>9525</xdr:rowOff>
        </xdr:from>
        <xdr:to>
          <xdr:col>2</xdr:col>
          <xdr:colOff>1828800</xdr:colOff>
          <xdr:row>20</xdr:row>
          <xdr:rowOff>1895475</xdr:rowOff>
        </xdr:to>
        <xdr:sp macro="" textlink="">
          <xdr:nvSpPr>
            <xdr:cNvPr id="1167" name="Object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57150</xdr:rowOff>
        </xdr:from>
        <xdr:to>
          <xdr:col>2</xdr:col>
          <xdr:colOff>1762125</xdr:colOff>
          <xdr:row>19</xdr:row>
          <xdr:rowOff>1876425</xdr:rowOff>
        </xdr:to>
        <xdr:sp macro="" textlink="">
          <xdr:nvSpPr>
            <xdr:cNvPr id="1168" name="Object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22</xdr:row>
          <xdr:rowOff>9525</xdr:rowOff>
        </xdr:from>
        <xdr:to>
          <xdr:col>2</xdr:col>
          <xdr:colOff>2562225</xdr:colOff>
          <xdr:row>22</xdr:row>
          <xdr:rowOff>1695450</xdr:rowOff>
        </xdr:to>
        <xdr:sp macro="" textlink="">
          <xdr:nvSpPr>
            <xdr:cNvPr id="1169" name="Object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38100</xdr:rowOff>
        </xdr:from>
        <xdr:to>
          <xdr:col>2</xdr:col>
          <xdr:colOff>2514600</xdr:colOff>
          <xdr:row>24</xdr:row>
          <xdr:rowOff>1704975</xdr:rowOff>
        </xdr:to>
        <xdr:sp macro="" textlink="">
          <xdr:nvSpPr>
            <xdr:cNvPr id="1170" name="Object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23</xdr:row>
          <xdr:rowOff>38100</xdr:rowOff>
        </xdr:from>
        <xdr:to>
          <xdr:col>2</xdr:col>
          <xdr:colOff>2543175</xdr:colOff>
          <xdr:row>23</xdr:row>
          <xdr:rowOff>1714500</xdr:rowOff>
        </xdr:to>
        <xdr:sp macro="" textlink="">
          <xdr:nvSpPr>
            <xdr:cNvPr id="1171" name="Object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oleObject" Target="../embeddings/oleObject7.bin"/><Relationship Id="rId18" Type="http://schemas.openxmlformats.org/officeDocument/2006/relationships/image" Target="../media/image21.emf"/><Relationship Id="rId26" Type="http://schemas.openxmlformats.org/officeDocument/2006/relationships/image" Target="../media/image25.emf"/><Relationship Id="rId3" Type="http://schemas.openxmlformats.org/officeDocument/2006/relationships/drawing" Target="../drawings/drawing2.xml"/><Relationship Id="rId21" Type="http://schemas.openxmlformats.org/officeDocument/2006/relationships/oleObject" Target="../embeddings/oleObject11.bin"/><Relationship Id="rId7" Type="http://schemas.openxmlformats.org/officeDocument/2006/relationships/oleObject" Target="../embeddings/oleObject4.bin"/><Relationship Id="rId12" Type="http://schemas.openxmlformats.org/officeDocument/2006/relationships/image" Target="../media/image18.emf"/><Relationship Id="rId17" Type="http://schemas.openxmlformats.org/officeDocument/2006/relationships/oleObject" Target="../embeddings/oleObject9.bin"/><Relationship Id="rId25" Type="http://schemas.openxmlformats.org/officeDocument/2006/relationships/oleObject" Target="../embeddings/oleObject13.bin"/><Relationship Id="rId2" Type="http://schemas.openxmlformats.org/officeDocument/2006/relationships/printerSettings" Target="../printerSettings/printerSettings5.bin"/><Relationship Id="rId16" Type="http://schemas.openxmlformats.org/officeDocument/2006/relationships/image" Target="../media/image20.emf"/><Relationship Id="rId20" Type="http://schemas.openxmlformats.org/officeDocument/2006/relationships/image" Target="../media/image22.emf"/><Relationship Id="rId29" Type="http://schemas.openxmlformats.org/officeDocument/2006/relationships/oleObject" Target="../embeddings/oleObject15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5.emf"/><Relationship Id="rId11" Type="http://schemas.openxmlformats.org/officeDocument/2006/relationships/oleObject" Target="../embeddings/oleObject6.bin"/><Relationship Id="rId24" Type="http://schemas.openxmlformats.org/officeDocument/2006/relationships/image" Target="../media/image24.emf"/><Relationship Id="rId32" Type="http://schemas.openxmlformats.org/officeDocument/2006/relationships/image" Target="../media/image28.emf"/><Relationship Id="rId5" Type="http://schemas.openxmlformats.org/officeDocument/2006/relationships/oleObject" Target="../embeddings/oleObject3.bin"/><Relationship Id="rId15" Type="http://schemas.openxmlformats.org/officeDocument/2006/relationships/oleObject" Target="../embeddings/oleObject8.bin"/><Relationship Id="rId23" Type="http://schemas.openxmlformats.org/officeDocument/2006/relationships/oleObject" Target="../embeddings/oleObject12.bin"/><Relationship Id="rId28" Type="http://schemas.openxmlformats.org/officeDocument/2006/relationships/image" Target="../media/image26.emf"/><Relationship Id="rId10" Type="http://schemas.openxmlformats.org/officeDocument/2006/relationships/image" Target="../media/image17.emf"/><Relationship Id="rId19" Type="http://schemas.openxmlformats.org/officeDocument/2006/relationships/oleObject" Target="../embeddings/oleObject10.bin"/><Relationship Id="rId31" Type="http://schemas.openxmlformats.org/officeDocument/2006/relationships/oleObject" Target="../embeddings/oleObject16.bin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5.bin"/><Relationship Id="rId14" Type="http://schemas.openxmlformats.org/officeDocument/2006/relationships/image" Target="../media/image19.emf"/><Relationship Id="rId22" Type="http://schemas.openxmlformats.org/officeDocument/2006/relationships/image" Target="../media/image23.emf"/><Relationship Id="rId27" Type="http://schemas.openxmlformats.org/officeDocument/2006/relationships/oleObject" Target="../embeddings/oleObject14.bin"/><Relationship Id="rId30" Type="http://schemas.openxmlformats.org/officeDocument/2006/relationships/image" Target="../media/image27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1329"/>
  <sheetViews>
    <sheetView tabSelected="1" view="pageBreakPreview" topLeftCell="A88" zoomScale="70" zoomScaleNormal="100" zoomScaleSheetLayoutView="70" zoomScalePageLayoutView="85" workbookViewId="0">
      <selection activeCell="D124" sqref="D124:D125"/>
    </sheetView>
  </sheetViews>
  <sheetFormatPr defaultRowHeight="12.75" outlineLevelRow="1" x14ac:dyDescent="0.2"/>
  <cols>
    <col min="1" max="1" width="8.85546875" style="1" customWidth="1"/>
    <col min="2" max="2" width="20.7109375" style="1" customWidth="1"/>
    <col min="3" max="3" width="30.7109375" style="1" customWidth="1"/>
    <col min="4" max="4" width="20.7109375" style="1" customWidth="1"/>
    <col min="5" max="5" width="20.7109375" style="2" customWidth="1"/>
    <col min="6" max="7" width="15.7109375" style="2" customWidth="1"/>
    <col min="8" max="8" width="10.7109375" style="2" customWidth="1"/>
    <col min="9" max="20" width="10.7109375" style="1" customWidth="1"/>
    <col min="21" max="21" width="30.7109375" style="1" customWidth="1"/>
    <col min="22" max="22" width="13" style="1" customWidth="1"/>
    <col min="23" max="23" width="27.42578125" style="1" customWidth="1"/>
    <col min="24" max="24" width="27.140625" style="1" customWidth="1"/>
    <col min="25" max="25" width="20.7109375" style="1" customWidth="1"/>
    <col min="26" max="26" width="18.5703125" style="1" customWidth="1"/>
    <col min="27" max="27" width="33.28515625" style="1" bestFit="1" customWidth="1"/>
    <col min="28" max="28" width="15.140625" style="1" customWidth="1"/>
    <col min="29" max="29" width="18.7109375" style="1" bestFit="1" customWidth="1"/>
    <col min="30" max="30" width="20.140625" style="1" customWidth="1"/>
    <col min="31" max="31" width="27.5703125" style="1" customWidth="1"/>
    <col min="32" max="32" width="17.7109375" style="1" customWidth="1"/>
    <col min="33" max="33" width="17.28515625" style="1" bestFit="1" customWidth="1"/>
    <col min="34" max="34" width="9" style="1" bestFit="1" customWidth="1"/>
    <col min="35" max="35" width="24.140625" style="1" customWidth="1"/>
    <col min="36" max="36" width="11" style="3" bestFit="1" customWidth="1"/>
    <col min="37" max="37" width="12.28515625" style="1" bestFit="1" customWidth="1"/>
    <col min="38" max="39" width="9.140625" style="1"/>
    <col min="40" max="40" width="12.28515625" style="3" bestFit="1" customWidth="1"/>
    <col min="41" max="41" width="9.140625" style="1"/>
    <col min="42" max="42" width="9.85546875" style="1" bestFit="1" customWidth="1"/>
    <col min="43" max="44" width="9.140625" style="1"/>
    <col min="45" max="45" width="11.5703125" style="1" bestFit="1" customWidth="1"/>
    <col min="46" max="16384" width="9.140625" style="1"/>
  </cols>
  <sheetData>
    <row r="1" spans="1:33" ht="13.5" hidden="1" outlineLevel="1" thickTop="1" x14ac:dyDescent="0.2">
      <c r="A1" s="8"/>
      <c r="B1" s="9"/>
      <c r="C1" s="9"/>
      <c r="D1" s="9"/>
      <c r="E1" s="63"/>
      <c r="F1" s="63"/>
      <c r="G1" s="63"/>
      <c r="H1" s="6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AE1" s="291"/>
      <c r="AF1" s="291"/>
    </row>
    <row r="2" spans="1:33" ht="15" hidden="1" customHeight="1" outlineLevel="1" x14ac:dyDescent="0.2">
      <c r="A2" s="10"/>
      <c r="Z2" s="6"/>
      <c r="AA2" s="6"/>
      <c r="AB2" s="6"/>
      <c r="AC2" s="6"/>
      <c r="AD2" s="6"/>
      <c r="AE2" s="6"/>
      <c r="AF2" s="6"/>
      <c r="AG2" s="6"/>
    </row>
    <row r="3" spans="1:33" ht="15" hidden="1" customHeight="1" outlineLevel="1" thickBot="1" x14ac:dyDescent="0.25">
      <c r="A3" s="10"/>
      <c r="Y3" s="6"/>
    </row>
    <row r="4" spans="1:33" ht="15" hidden="1" customHeight="1" outlineLevel="1" thickBot="1" x14ac:dyDescent="0.25">
      <c r="A4" s="10"/>
      <c r="B4" s="184" t="str">
        <f>E48</f>
        <v>SG.02.002.A</v>
      </c>
      <c r="C4" s="185" t="str">
        <f>IF(B4="","","Шина направляющая")</f>
        <v>Шина направляющая</v>
      </c>
      <c r="D4" s="185">
        <f>IF(B4="","",D116)</f>
        <v>0</v>
      </c>
      <c r="Y4" s="6"/>
    </row>
    <row r="5" spans="1:33" ht="15" hidden="1" customHeight="1" outlineLevel="1" x14ac:dyDescent="0.2">
      <c r="A5" s="10"/>
      <c r="B5" s="2" t="s">
        <v>58</v>
      </c>
      <c r="C5" s="1" t="s">
        <v>41</v>
      </c>
      <c r="D5" s="1">
        <v>1</v>
      </c>
    </row>
    <row r="6" spans="1:33" ht="15" hidden="1" customHeight="1" outlineLevel="1" x14ac:dyDescent="0.2">
      <c r="A6" s="10"/>
      <c r="B6" s="2" t="s">
        <v>95</v>
      </c>
      <c r="C6" s="1" t="s">
        <v>42</v>
      </c>
      <c r="D6" s="1" t="e">
        <f>VLOOKUP(D104,E77:F82,2,FALSE)*D106</f>
        <v>#N/A</v>
      </c>
    </row>
    <row r="7" spans="1:33" ht="15" hidden="1" customHeight="1" outlineLevel="1" x14ac:dyDescent="0.2">
      <c r="A7" s="10"/>
      <c r="B7" s="1">
        <f>D102</f>
        <v>0</v>
      </c>
      <c r="C7" s="1" t="s">
        <v>43</v>
      </c>
      <c r="D7" s="2">
        <v>2</v>
      </c>
    </row>
    <row r="8" spans="1:33" ht="15" hidden="1" customHeight="1" outlineLevel="1" x14ac:dyDescent="0.2">
      <c r="A8" s="10"/>
      <c r="D8" s="2"/>
    </row>
    <row r="9" spans="1:33" ht="15" hidden="1" customHeight="1" outlineLevel="1" x14ac:dyDescent="0.2">
      <c r="A9" s="10"/>
      <c r="B9" s="1" t="str">
        <f>HLOOKUP($K$89,$C$47:$D$57,A54,FALSE)</f>
        <v>SGN.02.320</v>
      </c>
      <c r="C9" s="1" t="s">
        <v>52</v>
      </c>
      <c r="D9" s="2">
        <f>IF(D108=A77,1,2)</f>
        <v>2</v>
      </c>
    </row>
    <row r="10" spans="1:33" ht="15" hidden="1" customHeight="1" outlineLevel="1" x14ac:dyDescent="0.2">
      <c r="A10" s="10"/>
      <c r="B10" s="1" t="str">
        <f>HLOOKUP($K$89,$C$47:$D$57,A55,FALSE)</f>
        <v>SGN.02.420</v>
      </c>
      <c r="C10" s="1" t="s">
        <v>53</v>
      </c>
      <c r="D10" s="1">
        <v>1</v>
      </c>
      <c r="T10" s="2"/>
    </row>
    <row r="11" spans="1:33" ht="15" hidden="1" customHeight="1" outlineLevel="1" x14ac:dyDescent="0.2">
      <c r="A11" s="10"/>
      <c r="B11" s="1" t="str">
        <f>HLOOKUP($K$89,$C$47:$D$57,A56,FALSE)</f>
        <v>SGN.02.510</v>
      </c>
      <c r="C11" s="1" t="s">
        <v>54</v>
      </c>
      <c r="D11" s="1">
        <f>IF(D108=A76,0,1)</f>
        <v>1</v>
      </c>
      <c r="T11" s="2"/>
    </row>
    <row r="12" spans="1:33" ht="15" hidden="1" customHeight="1" outlineLevel="1" x14ac:dyDescent="0.2">
      <c r="A12" s="10"/>
      <c r="B12" s="1" t="str">
        <f>HLOOKUP($K$89,$C$47:$D$57,A57,FALSE)</f>
        <v>SGN.02.600</v>
      </c>
      <c r="C12" s="1" t="s">
        <v>55</v>
      </c>
      <c r="D12" s="1">
        <f>D11</f>
        <v>1</v>
      </c>
      <c r="T12" s="2"/>
    </row>
    <row r="13" spans="1:33" ht="15" hidden="1" customHeight="1" outlineLevel="1" x14ac:dyDescent="0.2">
      <c r="A13" s="10"/>
      <c r="B13" s="1">
        <f>D104</f>
        <v>0</v>
      </c>
      <c r="C13" s="1" t="s">
        <v>56</v>
      </c>
      <c r="D13" s="1">
        <f>D106</f>
        <v>0</v>
      </c>
      <c r="T13" s="2"/>
    </row>
    <row r="14" spans="1:33" ht="15" hidden="1" customHeight="1" outlineLevel="1" x14ac:dyDescent="0.2">
      <c r="A14" s="10"/>
      <c r="T14" s="2"/>
    </row>
    <row r="15" spans="1:33" ht="15" hidden="1" customHeight="1" outlineLevel="1" x14ac:dyDescent="0.2">
      <c r="A15" s="10"/>
      <c r="T15" s="2"/>
    </row>
    <row r="16" spans="1:33" ht="15" hidden="1" customHeight="1" outlineLevel="1" x14ac:dyDescent="0.2">
      <c r="A16" s="10"/>
      <c r="T16" s="2"/>
    </row>
    <row r="17" spans="1:20" ht="15" hidden="1" customHeight="1" outlineLevel="1" x14ac:dyDescent="0.2">
      <c r="A17" s="10"/>
      <c r="B17" s="1" t="s">
        <v>115</v>
      </c>
      <c r="C17" s="1" t="s">
        <v>115</v>
      </c>
      <c r="D17" s="1" t="s">
        <v>115</v>
      </c>
      <c r="T17" s="2"/>
    </row>
    <row r="18" spans="1:20" ht="15" hidden="1" customHeight="1" outlineLevel="1" x14ac:dyDescent="0.2">
      <c r="A18" s="10"/>
      <c r="B18" s="1" t="str">
        <f>HLOOKUP($K$89,$C$47:$D$57,A53,FALSE)</f>
        <v>SGN.02.200</v>
      </c>
      <c r="C18" s="1" t="s">
        <v>51</v>
      </c>
      <c r="D18" s="1">
        <f>IF(D118=A76,2,0)</f>
        <v>0</v>
      </c>
      <c r="T18" s="2"/>
    </row>
    <row r="19" spans="1:20" ht="15" hidden="1" customHeight="1" outlineLevel="1" x14ac:dyDescent="0.2">
      <c r="A19" s="10"/>
      <c r="B19" s="1">
        <f>IF(D110=B78,"",D110)</f>
        <v>0</v>
      </c>
      <c r="C19" s="1" t="s">
        <v>65</v>
      </c>
      <c r="D19" s="1">
        <f>IF(B19="",0,IF((FLOOR((L80-100)/1000,1))*1000&gt;L80-2*(L78/2-60),FLOOR((L80-100)/1000,1),FLOOR((L80-100)/1000,1)+1))</f>
        <v>1</v>
      </c>
      <c r="T19" s="2"/>
    </row>
    <row r="20" spans="1:20" ht="15" hidden="1" customHeight="1" outlineLevel="1" x14ac:dyDescent="0.2">
      <c r="A20" s="10"/>
      <c r="B20" s="1" t="s">
        <v>203</v>
      </c>
      <c r="C20" s="1" t="s">
        <v>204</v>
      </c>
      <c r="D20" s="1">
        <f>IF(D112=A76,D19,0)</f>
        <v>0</v>
      </c>
      <c r="T20" s="2"/>
    </row>
    <row r="21" spans="1:20" ht="15" hidden="1" customHeight="1" outlineLevel="1" x14ac:dyDescent="0.2">
      <c r="A21" s="10"/>
      <c r="B21" s="1" t="s">
        <v>205</v>
      </c>
      <c r="C21" s="1" t="s">
        <v>206</v>
      </c>
      <c r="D21" s="1">
        <f>D20</f>
        <v>0</v>
      </c>
      <c r="T21" s="2"/>
    </row>
    <row r="22" spans="1:20" ht="15" hidden="1" customHeight="1" outlineLevel="1" x14ac:dyDescent="0.2">
      <c r="A22" s="10"/>
      <c r="T22" s="2"/>
    </row>
    <row r="23" spans="1:20" ht="15" hidden="1" customHeight="1" outlineLevel="1" x14ac:dyDescent="0.2">
      <c r="A23" s="10"/>
      <c r="B23" s="2" t="s">
        <v>69</v>
      </c>
      <c r="C23" s="1" t="s">
        <v>68</v>
      </c>
      <c r="D23" s="1">
        <f>IF(D120=A76,1,0)</f>
        <v>0</v>
      </c>
      <c r="T23" s="2"/>
    </row>
    <row r="24" spans="1:20" ht="15" hidden="1" customHeight="1" outlineLevel="1" x14ac:dyDescent="0.2">
      <c r="A24" s="10"/>
      <c r="B24" s="1" t="str">
        <f>HLOOKUP($K$89,$C$47:$D$58,A58,FALSE)</f>
        <v>FLGU.400.0904</v>
      </c>
      <c r="C24" s="1" t="s">
        <v>56</v>
      </c>
      <c r="D24" s="1">
        <f>IF(D122=A76,2,0)</f>
        <v>0</v>
      </c>
      <c r="G24" s="1"/>
      <c r="H24" s="1"/>
      <c r="T24" s="2"/>
    </row>
    <row r="25" spans="1:20" ht="15" hidden="1" customHeight="1" outlineLevel="1" x14ac:dyDescent="0.2">
      <c r="A25" s="10"/>
      <c r="B25" s="2" t="s">
        <v>74</v>
      </c>
      <c r="C25" s="1" t="s">
        <v>70</v>
      </c>
      <c r="D25" s="1">
        <f>(D5+D10)*2*C77</f>
        <v>0</v>
      </c>
      <c r="P25" s="252"/>
      <c r="T25" s="2"/>
    </row>
    <row r="26" spans="1:20" ht="15" hidden="1" customHeight="1" outlineLevel="1" x14ac:dyDescent="0.2">
      <c r="A26" s="10"/>
      <c r="B26" s="2" t="s">
        <v>75</v>
      </c>
      <c r="C26" s="1" t="s">
        <v>70</v>
      </c>
      <c r="D26" s="1">
        <f>8*C77</f>
        <v>0</v>
      </c>
      <c r="P26" s="252"/>
      <c r="T26" s="2"/>
    </row>
    <row r="27" spans="1:20" ht="15" hidden="1" customHeight="1" outlineLevel="1" x14ac:dyDescent="0.2">
      <c r="A27" s="10"/>
      <c r="B27" s="2" t="s">
        <v>76</v>
      </c>
      <c r="C27" s="1" t="s">
        <v>71</v>
      </c>
      <c r="D27" s="1">
        <f>4*C77</f>
        <v>0</v>
      </c>
      <c r="P27" s="252"/>
      <c r="T27" s="2"/>
    </row>
    <row r="28" spans="1:20" ht="15" hidden="1" customHeight="1" outlineLevel="1" x14ac:dyDescent="0.2">
      <c r="A28" s="10"/>
      <c r="B28" s="2" t="s">
        <v>77</v>
      </c>
      <c r="C28" s="1" t="s">
        <v>71</v>
      </c>
      <c r="D28" s="1">
        <f>D10*C77</f>
        <v>0</v>
      </c>
      <c r="P28" s="252"/>
      <c r="T28" s="2"/>
    </row>
    <row r="29" spans="1:20" ht="15" hidden="1" customHeight="1" outlineLevel="1" x14ac:dyDescent="0.2">
      <c r="A29" s="10"/>
      <c r="B29" s="2" t="s">
        <v>78</v>
      </c>
      <c r="C29" s="1" t="s">
        <v>72</v>
      </c>
      <c r="D29" s="1">
        <f>D25*C77</f>
        <v>0</v>
      </c>
      <c r="P29" s="252"/>
      <c r="T29" s="2"/>
    </row>
    <row r="30" spans="1:20" ht="15" hidden="1" customHeight="1" outlineLevel="1" x14ac:dyDescent="0.2">
      <c r="A30" s="10"/>
      <c r="B30" s="2" t="s">
        <v>79</v>
      </c>
      <c r="C30" s="1" t="s">
        <v>72</v>
      </c>
      <c r="D30" s="1">
        <f>D25*C77</f>
        <v>0</v>
      </c>
      <c r="P30" s="252"/>
      <c r="T30" s="2"/>
    </row>
    <row r="31" spans="1:20" ht="15" hidden="1" customHeight="1" outlineLevel="1" x14ac:dyDescent="0.2">
      <c r="A31" s="10"/>
      <c r="B31" s="2" t="s">
        <v>80</v>
      </c>
      <c r="C31" s="1" t="s">
        <v>73</v>
      </c>
      <c r="D31" s="1">
        <f>D25*C77</f>
        <v>0</v>
      </c>
      <c r="P31" s="200"/>
      <c r="T31" s="2"/>
    </row>
    <row r="32" spans="1:20" ht="15" hidden="1" customHeight="1" outlineLevel="1" x14ac:dyDescent="0.2">
      <c r="A32" s="10"/>
      <c r="B32" s="2"/>
      <c r="P32" s="200"/>
      <c r="T32" s="2"/>
    </row>
    <row r="33" spans="1:22" ht="15" hidden="1" customHeight="1" outlineLevel="1" x14ac:dyDescent="0.2">
      <c r="A33" s="10"/>
      <c r="B33" s="2"/>
      <c r="P33" s="200"/>
      <c r="T33" s="2"/>
    </row>
    <row r="34" spans="1:22" ht="15" hidden="1" customHeight="1" outlineLevel="1" x14ac:dyDescent="0.2">
      <c r="A34" s="10"/>
      <c r="B34" s="2"/>
      <c r="P34" s="200"/>
      <c r="T34" s="2"/>
    </row>
    <row r="35" spans="1:22" ht="15" hidden="1" customHeight="1" outlineLevel="1" x14ac:dyDescent="0.2">
      <c r="A35" s="10"/>
      <c r="B35" s="2"/>
      <c r="P35" s="200"/>
      <c r="T35" s="2"/>
    </row>
    <row r="36" spans="1:22" ht="15" hidden="1" customHeight="1" outlineLevel="1" x14ac:dyDescent="0.2">
      <c r="A36" s="224"/>
      <c r="B36" s="68"/>
      <c r="C36" s="68"/>
      <c r="D36" s="68"/>
      <c r="E36" s="69"/>
      <c r="T36" s="2"/>
    </row>
    <row r="37" spans="1:22" ht="15" hidden="1" customHeight="1" outlineLevel="1" x14ac:dyDescent="0.2">
      <c r="A37" s="10"/>
      <c r="T37" s="2"/>
    </row>
    <row r="38" spans="1:22" ht="15" hidden="1" customHeight="1" outlineLevel="1" thickBot="1" x14ac:dyDescent="0.25">
      <c r="A38" s="10"/>
      <c r="T38" s="2"/>
    </row>
    <row r="39" spans="1:22" ht="15" hidden="1" customHeight="1" outlineLevel="1" thickBot="1" x14ac:dyDescent="0.25">
      <c r="A39" s="10"/>
      <c r="B39" s="257" t="s">
        <v>152</v>
      </c>
      <c r="C39" s="279"/>
      <c r="D39" s="279"/>
      <c r="E39" s="279"/>
      <c r="F39" s="258"/>
      <c r="T39" s="2"/>
    </row>
    <row r="40" spans="1:22" ht="15" hidden="1" customHeight="1" outlineLevel="1" x14ac:dyDescent="0.2">
      <c r="A40" s="10"/>
      <c r="B40" s="173" t="str">
        <f>IF($L$70&lt;=F40,C40,"-")</f>
        <v>SGN.02.150</v>
      </c>
      <c r="C40" s="1" t="s">
        <v>49</v>
      </c>
      <c r="D40" s="99" t="s">
        <v>18</v>
      </c>
      <c r="E40" s="169">
        <v>700</v>
      </c>
      <c r="F40" s="168">
        <v>1400</v>
      </c>
      <c r="T40" s="2"/>
    </row>
    <row r="41" spans="1:22" ht="15" hidden="1" customHeight="1" outlineLevel="1" x14ac:dyDescent="0.2">
      <c r="A41" s="10"/>
      <c r="B41" s="173" t="str">
        <f>IF($L$70&lt;=F41,C41,"-")</f>
        <v>SGN.02.140</v>
      </c>
      <c r="C41" s="1" t="s">
        <v>48</v>
      </c>
      <c r="D41" s="99" t="s">
        <v>18</v>
      </c>
      <c r="E41" s="99">
        <v>500</v>
      </c>
      <c r="F41" s="168">
        <v>1000</v>
      </c>
      <c r="T41" s="2"/>
    </row>
    <row r="42" spans="1:22" ht="15" hidden="1" customHeight="1" outlineLevel="1" x14ac:dyDescent="0.2">
      <c r="A42" s="10"/>
      <c r="B42" s="173" t="str">
        <f t="shared" ref="B42:B45" si="0">IF($L$70&lt;=F42,C42,"-")</f>
        <v>SGN.02.100</v>
      </c>
      <c r="C42" s="1" t="s">
        <v>47</v>
      </c>
      <c r="D42" s="99" t="s">
        <v>18</v>
      </c>
      <c r="E42" s="169">
        <v>500</v>
      </c>
      <c r="F42" s="168">
        <v>1000</v>
      </c>
      <c r="T42" s="2"/>
    </row>
    <row r="43" spans="1:22" ht="15" hidden="1" customHeight="1" outlineLevel="1" x14ac:dyDescent="0.2">
      <c r="A43" s="10"/>
      <c r="B43" s="173" t="str">
        <f t="shared" si="0"/>
        <v>SGN.01.150</v>
      </c>
      <c r="C43" s="1" t="s">
        <v>46</v>
      </c>
      <c r="D43" s="99" t="s">
        <v>17</v>
      </c>
      <c r="E43" s="169">
        <v>450</v>
      </c>
      <c r="F43" s="168">
        <v>900</v>
      </c>
      <c r="T43" s="2"/>
    </row>
    <row r="44" spans="1:22" ht="15" hidden="1" customHeight="1" outlineLevel="1" x14ac:dyDescent="0.2">
      <c r="A44" s="10"/>
      <c r="B44" s="173" t="str">
        <f t="shared" si="0"/>
        <v>SGN.01.140</v>
      </c>
      <c r="C44" s="1" t="s">
        <v>45</v>
      </c>
      <c r="D44" s="99" t="s">
        <v>17</v>
      </c>
      <c r="E44" s="169">
        <v>300</v>
      </c>
      <c r="F44" s="168">
        <v>600</v>
      </c>
      <c r="P44" s="252"/>
      <c r="T44" s="2"/>
    </row>
    <row r="45" spans="1:22" ht="15" hidden="1" customHeight="1" outlineLevel="1" thickBot="1" x14ac:dyDescent="0.25">
      <c r="A45" s="10"/>
      <c r="B45" s="174" t="str">
        <f t="shared" si="0"/>
        <v>SGN.01.100</v>
      </c>
      <c r="C45" s="182" t="s">
        <v>44</v>
      </c>
      <c r="D45" s="170" t="s">
        <v>17</v>
      </c>
      <c r="E45" s="171">
        <v>300</v>
      </c>
      <c r="F45" s="172">
        <v>600</v>
      </c>
      <c r="P45" s="252"/>
      <c r="T45" s="2"/>
    </row>
    <row r="46" spans="1:22" ht="15" hidden="1" customHeight="1" outlineLevel="1" thickBot="1" x14ac:dyDescent="0.25">
      <c r="A46" s="10"/>
      <c r="P46" s="252"/>
      <c r="Q46" s="252"/>
      <c r="R46" s="252"/>
    </row>
    <row r="47" spans="1:22" ht="15" hidden="1" customHeight="1" outlineLevel="1" x14ac:dyDescent="0.2">
      <c r="A47" s="10"/>
      <c r="B47" s="292" t="s">
        <v>16</v>
      </c>
      <c r="C47" s="280" t="s">
        <v>17</v>
      </c>
      <c r="D47" s="282" t="s">
        <v>18</v>
      </c>
      <c r="E47" s="180" t="s">
        <v>154</v>
      </c>
      <c r="T47" s="91"/>
      <c r="U47" s="90"/>
      <c r="V47" s="90"/>
    </row>
    <row r="48" spans="1:22" ht="15" hidden="1" customHeight="1" outlineLevel="1" thickBot="1" x14ac:dyDescent="0.25">
      <c r="A48" s="10"/>
      <c r="B48" s="293"/>
      <c r="C48" s="281"/>
      <c r="D48" s="283"/>
      <c r="E48" s="167" t="str">
        <f>CONCATENATE(IF(K89=C47,C52,D52),IF(D114=A85,B85,B86),".A")</f>
        <v>SG.02.002.A</v>
      </c>
      <c r="T48" s="2"/>
    </row>
    <row r="49" spans="1:24" ht="15" hidden="1" customHeight="1" outlineLevel="1" x14ac:dyDescent="0.2">
      <c r="A49" s="10"/>
      <c r="B49" s="175" t="s">
        <v>37</v>
      </c>
      <c r="C49" s="94">
        <v>80</v>
      </c>
      <c r="D49" s="176">
        <v>80</v>
      </c>
      <c r="E49" s="180"/>
    </row>
    <row r="50" spans="1:24" ht="15" hidden="1" customHeight="1" outlineLevel="1" thickBot="1" x14ac:dyDescent="0.25">
      <c r="A50" s="10"/>
      <c r="B50" s="175" t="s">
        <v>38</v>
      </c>
      <c r="C50" s="94">
        <v>235</v>
      </c>
      <c r="D50" s="176">
        <v>285</v>
      </c>
      <c r="E50" s="181"/>
      <c r="F50" s="91"/>
      <c r="G50" s="91"/>
    </row>
    <row r="51" spans="1:24" ht="15" hidden="1" customHeight="1" outlineLevel="1" thickBot="1" x14ac:dyDescent="0.25">
      <c r="A51" s="10"/>
      <c r="B51" s="177" t="s">
        <v>39</v>
      </c>
      <c r="C51" s="178">
        <v>170</v>
      </c>
      <c r="D51" s="179">
        <v>210</v>
      </c>
      <c r="E51" s="87"/>
      <c r="J51" s="42"/>
      <c r="K51" s="42"/>
      <c r="L51" s="42"/>
    </row>
    <row r="52" spans="1:24" ht="15" hidden="1" customHeight="1" outlineLevel="1" x14ac:dyDescent="0.2">
      <c r="A52" s="10"/>
      <c r="C52" s="1" t="s">
        <v>155</v>
      </c>
      <c r="D52" s="1" t="s">
        <v>156</v>
      </c>
      <c r="I52" s="2" t="s">
        <v>30</v>
      </c>
      <c r="J52" s="77" t="s">
        <v>82</v>
      </c>
      <c r="K52" s="77" t="s">
        <v>83</v>
      </c>
      <c r="L52" s="87" t="s">
        <v>84</v>
      </c>
      <c r="M52" s="87" t="s">
        <v>85</v>
      </c>
      <c r="N52" s="1" t="s">
        <v>216</v>
      </c>
    </row>
    <row r="53" spans="1:24" ht="15" hidden="1" customHeight="1" outlineLevel="1" thickBot="1" x14ac:dyDescent="0.25">
      <c r="A53" s="1">
        <v>7</v>
      </c>
      <c r="B53" s="1" t="s">
        <v>51</v>
      </c>
      <c r="C53" s="1" t="s">
        <v>59</v>
      </c>
      <c r="D53" s="1" t="s">
        <v>62</v>
      </c>
      <c r="I53" s="2">
        <v>1</v>
      </c>
      <c r="J53" s="78" t="b">
        <f>IF(OR(D104=E77,D104=E80),1,IF(OR(D104=E78,D104=E81),2,IF(OR(D104=E79,D104=E82),3)))</f>
        <v>0</v>
      </c>
      <c r="K53" s="78" t="b">
        <f>IF(AND(OR(D102=C45,D102=C42),D118=A77),1,IF(AND(OR(D102=C44,D102=C41),D118=A77),2,IF(AND(OR(D102=C43,D102=C40),D118=A77),3,IF(AND(OR(D102=C45,D102=C42),D118=A76),4,IF(AND(OR(D102=C43,D102=C40),D118=A76),5)))))</f>
        <v>0</v>
      </c>
      <c r="L53" s="78" t="b">
        <f>IF(D106=1,4,выбор2)</f>
        <v>0</v>
      </c>
      <c r="M53" s="78">
        <f>IF(D108=A76,1,2)</f>
        <v>2</v>
      </c>
      <c r="N53" s="1">
        <f>IF(D112=A76,3,IF(D110=B77,2,IF(D110=B76,1,4)))</f>
        <v>4</v>
      </c>
    </row>
    <row r="54" spans="1:24" ht="15" hidden="1" customHeight="1" outlineLevel="1" x14ac:dyDescent="0.2">
      <c r="A54" s="1">
        <v>8</v>
      </c>
      <c r="B54" s="1" t="s">
        <v>52</v>
      </c>
      <c r="C54" s="1" t="s">
        <v>96</v>
      </c>
      <c r="D54" s="1" t="s">
        <v>98</v>
      </c>
    </row>
    <row r="55" spans="1:24" ht="15" hidden="1" customHeight="1" outlineLevel="1" thickBot="1" x14ac:dyDescent="0.25">
      <c r="A55" s="1">
        <v>9</v>
      </c>
      <c r="B55" s="1" t="s">
        <v>202</v>
      </c>
      <c r="C55" s="1" t="s">
        <v>97</v>
      </c>
      <c r="D55" s="1" t="s">
        <v>99</v>
      </c>
    </row>
    <row r="56" spans="1:24" ht="15" hidden="1" customHeight="1" outlineLevel="1" thickBot="1" x14ac:dyDescent="0.25">
      <c r="A56" s="1">
        <v>10</v>
      </c>
      <c r="B56" s="1" t="s">
        <v>54</v>
      </c>
      <c r="C56" s="1" t="s">
        <v>60</v>
      </c>
      <c r="D56" s="1" t="s">
        <v>63</v>
      </c>
      <c r="K56" s="257" t="s">
        <v>151</v>
      </c>
      <c r="L56" s="258"/>
      <c r="V56" s="56"/>
    </row>
    <row r="57" spans="1:24" ht="15" hidden="1" customHeight="1" outlineLevel="1" x14ac:dyDescent="0.2">
      <c r="A57" s="1">
        <v>11</v>
      </c>
      <c r="B57" s="1" t="s">
        <v>55</v>
      </c>
      <c r="C57" s="1" t="s">
        <v>61</v>
      </c>
      <c r="D57" s="1" t="s">
        <v>64</v>
      </c>
      <c r="K57" s="87">
        <f>IF($L$80/1000&lt;L57,L57,0)</f>
        <v>9</v>
      </c>
      <c r="L57" s="87">
        <f>IF(AND($D$114=$A$85,$K$89=$D$47),7,M57)</f>
        <v>9</v>
      </c>
      <c r="M57" s="87">
        <v>9</v>
      </c>
      <c r="V57" s="56"/>
    </row>
    <row r="58" spans="1:24" ht="15" hidden="1" customHeight="1" outlineLevel="1" x14ac:dyDescent="0.2">
      <c r="A58" s="10">
        <v>12</v>
      </c>
      <c r="B58" s="1" t="s">
        <v>56</v>
      </c>
      <c r="C58" s="1" t="s">
        <v>159</v>
      </c>
      <c r="D58" s="1" t="s">
        <v>145</v>
      </c>
      <c r="K58" s="167">
        <f>IF($L$80/1000&lt;L58,L58,"-")</f>
        <v>8</v>
      </c>
      <c r="L58" s="167">
        <f>IF(AND($D$114=$A$85,$K$89=$D$47),6,M58)</f>
        <v>8</v>
      </c>
      <c r="M58" s="167">
        <v>8</v>
      </c>
      <c r="V58" s="290"/>
      <c r="W58" s="290"/>
      <c r="X58" s="199"/>
    </row>
    <row r="59" spans="1:24" ht="15" hidden="1" customHeight="1" outlineLevel="1" x14ac:dyDescent="0.2">
      <c r="A59" s="10"/>
      <c r="K59" s="167">
        <f t="shared" ref="K59:K60" si="1">IF($L$80/1000&lt;L59,L59,"-")</f>
        <v>7</v>
      </c>
      <c r="L59" s="167">
        <f>IF(AND($D$114=$A$85,$K$89=$D$47),"-",M59)</f>
        <v>7</v>
      </c>
      <c r="M59" s="167">
        <v>7</v>
      </c>
      <c r="V59" s="290"/>
      <c r="W59" s="290"/>
      <c r="X59" s="199"/>
    </row>
    <row r="60" spans="1:24" ht="15" hidden="1" customHeight="1" outlineLevel="1" x14ac:dyDescent="0.2">
      <c r="A60" s="10"/>
      <c r="K60" s="167">
        <f t="shared" si="1"/>
        <v>6</v>
      </c>
      <c r="L60" s="167">
        <f>IF(AND($D$114=$A$85,$K$89=$D$47),"-",M60)</f>
        <v>6</v>
      </c>
      <c r="M60" s="167">
        <v>6</v>
      </c>
    </row>
    <row r="61" spans="1:24" ht="15" hidden="1" customHeight="1" outlineLevel="1" thickBot="1" x14ac:dyDescent="0.25">
      <c r="A61" s="10"/>
      <c r="K61" s="78">
        <f>IF($L$80/1000&lt;L61,L61,"-")</f>
        <v>5.3</v>
      </c>
      <c r="L61" s="78">
        <f>IF(AND($D$114=$A$85,$K$89=$D$47),"-",M61)</f>
        <v>5.3</v>
      </c>
      <c r="M61" s="78">
        <v>5.3</v>
      </c>
      <c r="V61" s="56"/>
    </row>
    <row r="62" spans="1:24" ht="15" hidden="1" customHeight="1" outlineLevel="1" x14ac:dyDescent="0.2">
      <c r="A62" s="10"/>
      <c r="N62" s="42"/>
      <c r="O62" s="42"/>
      <c r="P62" s="42"/>
      <c r="Q62" s="42"/>
      <c r="V62" s="4"/>
    </row>
    <row r="63" spans="1:24" ht="15" hidden="1" customHeight="1" outlineLevel="1" thickBot="1" x14ac:dyDescent="0.25">
      <c r="A63" s="10"/>
      <c r="N63" s="42"/>
      <c r="O63" s="42"/>
      <c r="P63" s="42"/>
      <c r="Q63" s="42"/>
    </row>
    <row r="64" spans="1:24" ht="15" hidden="1" customHeight="1" outlineLevel="1" x14ac:dyDescent="0.2">
      <c r="A64" s="10"/>
      <c r="K64" s="296" t="s">
        <v>31</v>
      </c>
      <c r="L64" s="296"/>
      <c r="N64" s="42"/>
    </row>
    <row r="65" spans="1:19" ht="15" hidden="1" customHeight="1" outlineLevel="1" thickBot="1" x14ac:dyDescent="0.25">
      <c r="A65" s="10"/>
      <c r="K65" s="297"/>
      <c r="L65" s="297"/>
      <c r="N65" s="42"/>
    </row>
    <row r="66" spans="1:19" ht="15" hidden="1" customHeight="1" outlineLevel="1" x14ac:dyDescent="0.2">
      <c r="A66" s="10"/>
      <c r="K66" s="299" t="s">
        <v>32</v>
      </c>
      <c r="L66" s="256">
        <f>D98</f>
        <v>0</v>
      </c>
    </row>
    <row r="67" spans="1:19" ht="15" hidden="1" customHeight="1" outlineLevel="1" x14ac:dyDescent="0.2">
      <c r="A67" s="10"/>
      <c r="K67" s="263"/>
      <c r="L67" s="284"/>
      <c r="R67" s="3"/>
      <c r="S67" s="3"/>
    </row>
    <row r="68" spans="1:19" ht="15" hidden="1" customHeight="1" outlineLevel="1" x14ac:dyDescent="0.2">
      <c r="A68" s="10"/>
      <c r="K68" s="253" t="s">
        <v>149</v>
      </c>
      <c r="L68" s="255">
        <f>D100</f>
        <v>0</v>
      </c>
      <c r="R68" s="3"/>
      <c r="S68" s="3"/>
    </row>
    <row r="69" spans="1:19" ht="15" hidden="1" customHeight="1" outlineLevel="1" x14ac:dyDescent="0.2">
      <c r="A69" s="10"/>
      <c r="K69" s="254"/>
      <c r="L69" s="256"/>
      <c r="R69" s="3"/>
      <c r="S69" s="3"/>
    </row>
    <row r="70" spans="1:19" ht="15" hidden="1" customHeight="1" outlineLevel="1" x14ac:dyDescent="0.2">
      <c r="F70" s="1"/>
      <c r="K70" s="253" t="s">
        <v>150</v>
      </c>
      <c r="L70" s="255">
        <f>D98/2000*D100</f>
        <v>0</v>
      </c>
      <c r="R70" s="3"/>
      <c r="S70" s="3"/>
    </row>
    <row r="71" spans="1:19" ht="15" hidden="1" customHeight="1" outlineLevel="1" x14ac:dyDescent="0.2">
      <c r="F71" s="1"/>
      <c r="K71" s="254"/>
      <c r="L71" s="256"/>
      <c r="R71" s="3"/>
      <c r="S71" s="3"/>
    </row>
    <row r="72" spans="1:19" ht="15" hidden="1" customHeight="1" outlineLevel="1" x14ac:dyDescent="0.2">
      <c r="F72" s="1"/>
      <c r="K72" s="263" t="s">
        <v>33</v>
      </c>
      <c r="L72" s="284">
        <f>IF($AA$86=$C$47,C49,D49)</f>
        <v>80</v>
      </c>
    </row>
    <row r="73" spans="1:19" ht="15" hidden="1" customHeight="1" outlineLevel="1" x14ac:dyDescent="0.2">
      <c r="K73" s="263"/>
      <c r="L73" s="284"/>
    </row>
    <row r="74" spans="1:19" ht="15" hidden="1" customHeight="1" outlineLevel="1" x14ac:dyDescent="0.2">
      <c r="A74" s="290"/>
      <c r="B74" s="290"/>
      <c r="C74" s="199"/>
      <c r="K74" s="263" t="s">
        <v>34</v>
      </c>
      <c r="L74" s="284">
        <f>IF($AA$86=$C$47,C50,D50)</f>
        <v>285</v>
      </c>
      <c r="P74" s="2"/>
    </row>
    <row r="75" spans="1:19" ht="15" hidden="1" customHeight="1" outlineLevel="1" thickBot="1" x14ac:dyDescent="0.25">
      <c r="A75" s="10"/>
      <c r="K75" s="263"/>
      <c r="L75" s="284"/>
      <c r="R75" s="52"/>
    </row>
    <row r="76" spans="1:19" ht="15" hidden="1" customHeight="1" outlineLevel="1" thickBot="1" x14ac:dyDescent="0.25">
      <c r="A76" s="180" t="s">
        <v>50</v>
      </c>
      <c r="B76" s="87" t="s">
        <v>66</v>
      </c>
      <c r="C76" s="87" t="s">
        <v>153</v>
      </c>
      <c r="E76" s="264" t="s">
        <v>23</v>
      </c>
      <c r="F76" s="265"/>
      <c r="K76" s="263" t="s">
        <v>35</v>
      </c>
      <c r="L76" s="284">
        <f>IF($AA$86=$C$47,C51,D51)</f>
        <v>210</v>
      </c>
      <c r="R76" s="52"/>
      <c r="S76" s="52"/>
    </row>
    <row r="77" spans="1:19" ht="15" hidden="1" customHeight="1" outlineLevel="1" thickBot="1" x14ac:dyDescent="0.25">
      <c r="A77" s="181" t="s">
        <v>6</v>
      </c>
      <c r="B77" s="167" t="s">
        <v>67</v>
      </c>
      <c r="C77" s="78">
        <f>IF(Q100=A76,1,0)</f>
        <v>0</v>
      </c>
      <c r="E77" s="180" t="s">
        <v>24</v>
      </c>
      <c r="F77" s="215">
        <v>4</v>
      </c>
      <c r="K77" s="263"/>
      <c r="L77" s="284"/>
      <c r="R77" s="52"/>
      <c r="S77" s="52"/>
    </row>
    <row r="78" spans="1:19" ht="15" hidden="1" customHeight="1" outlineLevel="1" thickBot="1" x14ac:dyDescent="0.25">
      <c r="A78" s="10"/>
      <c r="B78" s="78" t="s">
        <v>6</v>
      </c>
      <c r="E78" s="183" t="s">
        <v>25</v>
      </c>
      <c r="F78" s="176">
        <v>2</v>
      </c>
      <c r="G78" s="298"/>
      <c r="H78" s="298"/>
      <c r="I78" s="298"/>
      <c r="K78" s="263" t="s">
        <v>36</v>
      </c>
      <c r="L78" s="284">
        <f>IF(D124="",M78,D124)</f>
        <v>-300</v>
      </c>
      <c r="M78" s="284">
        <f>ROUNDUP(L66/3-300,0)</f>
        <v>-300</v>
      </c>
    </row>
    <row r="79" spans="1:19" ht="15" hidden="1" customHeight="1" outlineLevel="1" thickBot="1" x14ac:dyDescent="0.25">
      <c r="A79" s="10"/>
      <c r="E79" s="183" t="s">
        <v>26</v>
      </c>
      <c r="F79" s="176">
        <v>4</v>
      </c>
      <c r="K79" s="263"/>
      <c r="L79" s="284"/>
      <c r="M79" s="284"/>
    </row>
    <row r="80" spans="1:19" ht="15" hidden="1" customHeight="1" outlineLevel="1" x14ac:dyDescent="0.2">
      <c r="A80" s="87">
        <v>0</v>
      </c>
      <c r="E80" s="183" t="s">
        <v>27</v>
      </c>
      <c r="F80" s="176">
        <v>4</v>
      </c>
      <c r="K80" s="263" t="s">
        <v>40</v>
      </c>
      <c r="L80" s="284">
        <f>L66+L72+L74+L76+L78</f>
        <v>275</v>
      </c>
      <c r="M80" s="315"/>
    </row>
    <row r="81" spans="1:43" ht="15" hidden="1" customHeight="1" outlineLevel="1" x14ac:dyDescent="0.2">
      <c r="A81" s="167">
        <v>1</v>
      </c>
      <c r="E81" s="183" t="s">
        <v>28</v>
      </c>
      <c r="F81" s="176">
        <v>2</v>
      </c>
      <c r="K81" s="263"/>
      <c r="L81" s="284"/>
      <c r="M81" s="315"/>
      <c r="R81" s="294"/>
      <c r="S81" s="85"/>
    </row>
    <row r="82" spans="1:43" ht="15" hidden="1" customHeight="1" outlineLevel="1" thickBot="1" x14ac:dyDescent="0.25">
      <c r="A82" s="167">
        <v>2</v>
      </c>
      <c r="E82" s="181" t="s">
        <v>29</v>
      </c>
      <c r="F82" s="179">
        <v>4</v>
      </c>
      <c r="K82" s="263" t="s">
        <v>81</v>
      </c>
      <c r="L82" s="284">
        <f>L80+200</f>
        <v>475</v>
      </c>
      <c r="R82" s="294"/>
      <c r="S82" s="85"/>
      <c r="AQ82" s="7"/>
    </row>
    <row r="83" spans="1:43" ht="15" hidden="1" customHeight="1" outlineLevel="1" thickBot="1" x14ac:dyDescent="0.25">
      <c r="A83" s="78">
        <v>3</v>
      </c>
      <c r="C83" s="61"/>
      <c r="K83" s="322"/>
      <c r="L83" s="295"/>
      <c r="S83" s="6"/>
      <c r="AQ83" s="7"/>
    </row>
    <row r="84" spans="1:43" ht="15" hidden="1" customHeight="1" outlineLevel="1" thickBot="1" x14ac:dyDescent="0.25">
      <c r="A84" s="10"/>
      <c r="C84" s="61"/>
      <c r="AQ84" s="7"/>
    </row>
    <row r="85" spans="1:43" ht="15" hidden="1" customHeight="1" outlineLevel="1" x14ac:dyDescent="0.2">
      <c r="A85" s="180" t="s">
        <v>93</v>
      </c>
      <c r="B85" s="93" t="s">
        <v>157</v>
      </c>
      <c r="AQ85" s="7"/>
    </row>
    <row r="86" spans="1:43" ht="15" hidden="1" customHeight="1" outlineLevel="1" thickBot="1" x14ac:dyDescent="0.3">
      <c r="A86" s="181" t="s">
        <v>94</v>
      </c>
      <c r="B86" s="93" t="s">
        <v>158</v>
      </c>
      <c r="C86" s="67"/>
      <c r="F86" s="67"/>
      <c r="N86" s="4"/>
      <c r="O86" s="4"/>
      <c r="P86" s="4"/>
      <c r="Q86" s="4"/>
      <c r="R86" s="4"/>
      <c r="S86" s="4"/>
      <c r="W86" s="15"/>
      <c r="AA86" s="300"/>
      <c r="AB86" s="300"/>
      <c r="AQ86" s="7"/>
    </row>
    <row r="87" spans="1:43" ht="15" hidden="1" customHeight="1" outlineLevel="1" thickBot="1" x14ac:dyDescent="0.3">
      <c r="A87" s="10"/>
      <c r="W87" s="15"/>
      <c r="AA87" s="300"/>
      <c r="AB87" s="300"/>
      <c r="AQ87" s="7"/>
    </row>
    <row r="88" spans="1:43" ht="15" customHeight="1" collapsed="1" thickTop="1" thickBot="1" x14ac:dyDescent="0.3">
      <c r="A88" s="8"/>
      <c r="B88" s="9"/>
      <c r="C88" s="9"/>
      <c r="D88" s="9"/>
      <c r="E88" s="63"/>
      <c r="F88" s="63"/>
      <c r="G88" s="63"/>
      <c r="H88" s="63"/>
      <c r="I88" s="9"/>
      <c r="J88" s="9"/>
      <c r="K88" s="9"/>
      <c r="L88" s="9"/>
      <c r="M88" s="9"/>
      <c r="N88" s="74"/>
      <c r="R88" s="88"/>
      <c r="S88" s="88"/>
      <c r="T88" s="71"/>
      <c r="U88" s="15"/>
      <c r="W88" s="15"/>
      <c r="AQ88" s="7"/>
    </row>
    <row r="89" spans="1:43" ht="15" customHeight="1" thickTop="1" x14ac:dyDescent="0.25">
      <c r="A89" s="304" t="s">
        <v>15</v>
      </c>
      <c r="B89" s="304"/>
      <c r="C89" s="304"/>
      <c r="D89" s="304"/>
      <c r="E89" s="304"/>
      <c r="F89" s="304"/>
      <c r="G89" s="304"/>
      <c r="H89" s="304"/>
      <c r="I89" s="301" t="s">
        <v>16</v>
      </c>
      <c r="J89" s="301"/>
      <c r="K89" s="320" t="str">
        <f>IF(OR(D102=C45,D102=C44,D102=C43),C47,D47)</f>
        <v>SGN.02</v>
      </c>
      <c r="L89" s="320"/>
      <c r="N89" s="11"/>
      <c r="U89" s="15"/>
      <c r="AQ89" s="7"/>
    </row>
    <row r="90" spans="1:43" ht="15" customHeight="1" thickBot="1" x14ac:dyDescent="0.3">
      <c r="A90" s="305"/>
      <c r="B90" s="305"/>
      <c r="C90" s="305"/>
      <c r="D90" s="305"/>
      <c r="E90" s="305"/>
      <c r="F90" s="305"/>
      <c r="G90" s="305"/>
      <c r="H90" s="305"/>
      <c r="I90" s="302"/>
      <c r="J90" s="302"/>
      <c r="K90" s="321"/>
      <c r="L90" s="321"/>
      <c r="N90" s="11"/>
      <c r="U90" s="15"/>
      <c r="V90" s="89"/>
      <c r="W90" s="89"/>
      <c r="X90" s="89"/>
      <c r="AQ90" s="7"/>
    </row>
    <row r="91" spans="1:43" ht="15" customHeight="1" thickTop="1" x14ac:dyDescent="0.25">
      <c r="A91" s="202"/>
      <c r="B91" s="201"/>
      <c r="C91" s="201"/>
      <c r="D91" s="201"/>
      <c r="E91" s="201"/>
      <c r="F91" s="201"/>
      <c r="G91" s="201"/>
      <c r="H91" s="201"/>
      <c r="I91" s="203"/>
      <c r="J91" s="203"/>
      <c r="K91" s="204"/>
      <c r="L91" s="204"/>
      <c r="N91" s="11"/>
      <c r="U91" s="15"/>
      <c r="V91" s="89"/>
      <c r="W91" s="89"/>
      <c r="X91" s="89"/>
      <c r="AQ91" s="7"/>
    </row>
    <row r="92" spans="1:43" ht="15" customHeight="1" x14ac:dyDescent="0.25">
      <c r="A92" s="202"/>
      <c r="B92" s="206" t="s">
        <v>198</v>
      </c>
      <c r="C92" s="201"/>
      <c r="D92" s="201"/>
      <c r="E92" s="201"/>
      <c r="F92" s="201"/>
      <c r="G92" s="201"/>
      <c r="H92" s="201"/>
      <c r="I92" s="203"/>
      <c r="J92" s="203"/>
      <c r="K92" s="204"/>
      <c r="L92" s="204"/>
      <c r="N92" s="11"/>
      <c r="U92" s="15"/>
      <c r="V92" s="89"/>
      <c r="W92" s="89"/>
      <c r="X92" s="89"/>
      <c r="AQ92" s="7"/>
    </row>
    <row r="93" spans="1:43" ht="15" customHeight="1" x14ac:dyDescent="0.25">
      <c r="A93" s="202"/>
      <c r="B93" s="205" t="s">
        <v>230</v>
      </c>
      <c r="C93" s="201"/>
      <c r="D93" s="201"/>
      <c r="E93" s="201"/>
      <c r="F93" s="201"/>
      <c r="G93" s="201"/>
      <c r="H93" s="201"/>
      <c r="I93" s="203"/>
      <c r="J93" s="203"/>
      <c r="K93" s="204"/>
      <c r="L93" s="204"/>
      <c r="N93" s="11"/>
      <c r="U93" s="15"/>
      <c r="V93" s="89"/>
      <c r="W93" s="89"/>
      <c r="X93" s="89"/>
      <c r="AQ93" s="7"/>
    </row>
    <row r="94" spans="1:43" ht="15" customHeight="1" x14ac:dyDescent="0.25">
      <c r="A94" s="202"/>
      <c r="B94" s="205" t="s">
        <v>215</v>
      </c>
      <c r="C94" s="201"/>
      <c r="D94" s="201"/>
      <c r="E94" s="201"/>
      <c r="F94" s="201"/>
      <c r="G94" s="201"/>
      <c r="H94" s="201"/>
      <c r="I94" s="203"/>
      <c r="J94" s="203"/>
      <c r="K94" s="204"/>
      <c r="L94" s="204"/>
      <c r="N94" s="11"/>
      <c r="U94" s="15"/>
      <c r="V94" s="89"/>
      <c r="W94" s="89"/>
      <c r="X94" s="89"/>
      <c r="AQ94" s="7"/>
    </row>
    <row r="95" spans="1:43" ht="15" customHeight="1" x14ac:dyDescent="0.25">
      <c r="A95" s="202"/>
      <c r="B95" s="205" t="s">
        <v>199</v>
      </c>
      <c r="C95" s="201"/>
      <c r="D95" s="201"/>
      <c r="E95" s="201"/>
      <c r="F95" s="201"/>
      <c r="G95" s="201"/>
      <c r="H95" s="201"/>
      <c r="I95" s="203"/>
      <c r="J95" s="203"/>
      <c r="K95" s="204"/>
      <c r="L95" s="204"/>
      <c r="N95" s="11"/>
      <c r="U95" s="15"/>
      <c r="V95" s="89"/>
      <c r="W95" s="89"/>
      <c r="X95" s="89"/>
      <c r="AQ95" s="7"/>
    </row>
    <row r="96" spans="1:43" ht="15" customHeight="1" x14ac:dyDescent="0.25">
      <c r="A96" s="202"/>
      <c r="B96" s="205" t="s">
        <v>200</v>
      </c>
      <c r="C96" s="201"/>
      <c r="D96" s="201"/>
      <c r="E96" s="201"/>
      <c r="F96" s="201"/>
      <c r="G96" s="201"/>
      <c r="H96" s="201"/>
      <c r="I96" s="203"/>
      <c r="J96" s="203"/>
      <c r="K96" s="204"/>
      <c r="L96" s="204"/>
      <c r="N96" s="11"/>
      <c r="U96" s="15"/>
      <c r="V96" s="89"/>
      <c r="W96" s="89"/>
      <c r="X96" s="89"/>
      <c r="AQ96" s="7"/>
    </row>
    <row r="97" spans="1:41" ht="15" customHeight="1" thickBot="1" x14ac:dyDescent="0.3">
      <c r="A97" s="10"/>
      <c r="C97" s="84"/>
      <c r="D97" s="84"/>
      <c r="E97" s="84"/>
      <c r="F97" s="60"/>
      <c r="G97" s="60"/>
      <c r="H97" s="60"/>
      <c r="I97" s="60"/>
      <c r="J97" s="60"/>
      <c r="K97" s="60"/>
      <c r="L97" s="60"/>
      <c r="M97" s="60"/>
      <c r="N97" s="62"/>
      <c r="O97" s="60"/>
      <c r="P97" s="60"/>
      <c r="Q97" s="60"/>
      <c r="R97" s="60"/>
      <c r="S97" s="15"/>
      <c r="U97" s="15"/>
      <c r="V97" s="89"/>
      <c r="W97" s="89"/>
      <c r="X97" s="89"/>
      <c r="AH97" s="3"/>
      <c r="AJ97" s="1"/>
      <c r="AL97" s="3"/>
      <c r="AN97" s="1"/>
      <c r="AO97" s="7"/>
    </row>
    <row r="98" spans="1:41" ht="20.100000000000001" customHeight="1" thickBot="1" x14ac:dyDescent="0.3">
      <c r="A98" s="285" t="s">
        <v>21</v>
      </c>
      <c r="B98" s="286"/>
      <c r="C98" s="286"/>
      <c r="D98" s="266"/>
      <c r="E98" s="316" t="str">
        <f>IF(L80&gt;9000,"- Ширина проема больше максимально возможного","")</f>
        <v/>
      </c>
      <c r="F98" s="317"/>
      <c r="G98" s="317"/>
      <c r="H98" s="317"/>
      <c r="I98" s="317"/>
      <c r="J98" s="317"/>
      <c r="K98" s="317"/>
      <c r="L98" s="317"/>
      <c r="M98" s="318"/>
      <c r="N98" s="11"/>
      <c r="Q98" s="306" t="s">
        <v>148</v>
      </c>
      <c r="R98" s="307"/>
      <c r="S98" s="15"/>
      <c r="T98" s="89"/>
      <c r="U98" s="89"/>
      <c r="W98" s="2"/>
      <c r="X98" s="2"/>
      <c r="Y98" s="89"/>
      <c r="Z98" s="89"/>
      <c r="AA98" s="89"/>
      <c r="AH98" s="3"/>
      <c r="AJ98" s="1"/>
      <c r="AL98" s="3"/>
      <c r="AN98" s="1"/>
      <c r="AO98" s="7"/>
    </row>
    <row r="99" spans="1:41" ht="20.100000000000001" customHeight="1" thickBot="1" x14ac:dyDescent="0.3">
      <c r="A99" s="285"/>
      <c r="B99" s="286"/>
      <c r="C99" s="286"/>
      <c r="D99" s="266"/>
      <c r="E99" s="316"/>
      <c r="F99" s="317"/>
      <c r="G99" s="317"/>
      <c r="H99" s="317"/>
      <c r="I99" s="317"/>
      <c r="J99" s="317"/>
      <c r="K99" s="317"/>
      <c r="L99" s="317"/>
      <c r="M99" s="318"/>
      <c r="N99" s="11"/>
      <c r="Q99" s="308"/>
      <c r="R99" s="309"/>
      <c r="S99" s="15"/>
      <c r="T99" s="89"/>
      <c r="U99" s="89"/>
      <c r="W99" s="2"/>
      <c r="X99" s="2"/>
      <c r="Y99" s="89"/>
      <c r="Z99" s="89"/>
      <c r="AA99" s="89"/>
      <c r="AH99" s="3"/>
      <c r="AJ99" s="1"/>
      <c r="AL99" s="3"/>
      <c r="AN99" s="1"/>
      <c r="AO99" s="7"/>
    </row>
    <row r="100" spans="1:41" ht="20.100000000000001" customHeight="1" thickBot="1" x14ac:dyDescent="0.3">
      <c r="A100" s="285" t="s">
        <v>19</v>
      </c>
      <c r="B100" s="286"/>
      <c r="C100" s="286"/>
      <c r="D100" s="266"/>
      <c r="E100" s="316" t="str">
        <f>IF(L70&gt;F40,"- Масса створки при указанной длине больше максимально возможной","")</f>
        <v/>
      </c>
      <c r="F100" s="317"/>
      <c r="G100" s="317"/>
      <c r="H100" s="317"/>
      <c r="I100" s="317"/>
      <c r="J100" s="317"/>
      <c r="K100" s="317"/>
      <c r="L100" s="317"/>
      <c r="M100" s="318"/>
      <c r="N100" s="11"/>
      <c r="Q100" s="310" t="s">
        <v>6</v>
      </c>
      <c r="R100" s="311"/>
      <c r="S100" s="15"/>
      <c r="W100" s="2"/>
      <c r="X100" s="2"/>
      <c r="Y100" s="2"/>
      <c r="AC100" s="65"/>
      <c r="AD100" s="65"/>
      <c r="AH100" s="3"/>
      <c r="AJ100" s="1"/>
      <c r="AL100" s="3"/>
      <c r="AN100" s="1"/>
      <c r="AO100" s="7"/>
    </row>
    <row r="101" spans="1:41" ht="20.100000000000001" customHeight="1" thickBot="1" x14ac:dyDescent="0.3">
      <c r="A101" s="285"/>
      <c r="B101" s="286"/>
      <c r="C101" s="286"/>
      <c r="D101" s="266"/>
      <c r="E101" s="316"/>
      <c r="F101" s="317"/>
      <c r="G101" s="317"/>
      <c r="H101" s="317"/>
      <c r="I101" s="317"/>
      <c r="J101" s="317"/>
      <c r="K101" s="317"/>
      <c r="L101" s="317"/>
      <c r="M101" s="318"/>
      <c r="N101" s="11"/>
      <c r="Q101" s="312"/>
      <c r="R101" s="313"/>
      <c r="S101" s="15"/>
      <c r="W101" s="66"/>
      <c r="X101" s="66"/>
      <c r="Y101" s="2"/>
      <c r="AC101" s="65"/>
      <c r="AD101" s="65"/>
      <c r="AH101" s="3"/>
      <c r="AJ101" s="1"/>
      <c r="AL101" s="3"/>
      <c r="AN101" s="1"/>
      <c r="AO101" s="7"/>
    </row>
    <row r="102" spans="1:41" ht="20.100000000000001" customHeight="1" thickBot="1" x14ac:dyDescent="0.3">
      <c r="A102" s="285" t="s">
        <v>20</v>
      </c>
      <c r="B102" s="286"/>
      <c r="C102" s="286"/>
      <c r="D102" s="266"/>
      <c r="E102" s="275" t="str">
        <f>IF(E100&lt;&gt;"","-не возможно подобрать опору роликовую",IF(OR(D102=C45,D102=C44,D102=C42,D102=C41),"- роликовая опора с полимерными роликами","- роликовая опора со стальными роликами"))</f>
        <v>- роликовая опора со стальными роликами</v>
      </c>
      <c r="F102" s="276"/>
      <c r="G102" s="276"/>
      <c r="H102" s="276"/>
      <c r="I102" s="276"/>
      <c r="J102" s="276"/>
      <c r="K102" s="276"/>
      <c r="L102" s="276"/>
      <c r="M102" s="277"/>
      <c r="N102" s="11"/>
      <c r="R102" s="4"/>
      <c r="S102" s="15"/>
      <c r="Y102" s="2"/>
      <c r="AC102" s="65"/>
      <c r="AD102" s="65"/>
      <c r="AH102" s="3"/>
      <c r="AJ102" s="1"/>
      <c r="AL102" s="3"/>
      <c r="AN102" s="1"/>
      <c r="AO102" s="7"/>
    </row>
    <row r="103" spans="1:41" ht="20.100000000000001" customHeight="1" thickBot="1" x14ac:dyDescent="0.3">
      <c r="A103" s="285"/>
      <c r="B103" s="286"/>
      <c r="C103" s="286"/>
      <c r="D103" s="266"/>
      <c r="E103" s="275"/>
      <c r="F103" s="276"/>
      <c r="G103" s="276"/>
      <c r="H103" s="276"/>
      <c r="I103" s="276"/>
      <c r="J103" s="276"/>
      <c r="K103" s="276"/>
      <c r="L103" s="276"/>
      <c r="M103" s="277"/>
      <c r="N103" s="11"/>
      <c r="R103" s="4"/>
      <c r="S103" s="15"/>
      <c r="Y103" s="66"/>
      <c r="AA103" s="59"/>
      <c r="AB103" s="4"/>
      <c r="AC103" s="59"/>
      <c r="AD103" s="59"/>
      <c r="AH103" s="3"/>
      <c r="AJ103" s="1"/>
      <c r="AL103" s="3"/>
      <c r="AN103" s="1"/>
      <c r="AO103" s="7"/>
    </row>
    <row r="104" spans="1:41" ht="20.100000000000001" customHeight="1" thickBot="1" x14ac:dyDescent="0.3">
      <c r="A104" s="285" t="s">
        <v>22</v>
      </c>
      <c r="B104" s="286"/>
      <c r="C104" s="286"/>
      <c r="D104" s="266"/>
      <c r="E104" s="275" t="str">
        <f>IF(OR(D104=E77,D104=E80),"- кронштейн для установки 4х роликов поддерживающих",IF(OR(D104=E78,D104=E81),"- кронштейн для установки 2х роликов поддерживающих, минимальное количество - 2шт.",IF(OR(D104=E79,D104=E82),"- кронштейн для установки 2х роликов поддерживающих, необходим козырек из уголка 45х45х3","")))</f>
        <v/>
      </c>
      <c r="F104" s="276"/>
      <c r="G104" s="276"/>
      <c r="H104" s="276"/>
      <c r="I104" s="276"/>
      <c r="J104" s="276"/>
      <c r="K104" s="276"/>
      <c r="L104" s="276"/>
      <c r="M104" s="277"/>
      <c r="N104" s="11"/>
      <c r="R104" s="4"/>
      <c r="S104" s="15"/>
      <c r="AH104" s="3"/>
      <c r="AJ104" s="1"/>
      <c r="AL104" s="3"/>
      <c r="AN104" s="1"/>
      <c r="AO104" s="7"/>
    </row>
    <row r="105" spans="1:41" ht="20.100000000000001" customHeight="1" thickBot="1" x14ac:dyDescent="0.3">
      <c r="A105" s="285"/>
      <c r="B105" s="286"/>
      <c r="C105" s="286"/>
      <c r="D105" s="266"/>
      <c r="E105" s="275"/>
      <c r="F105" s="276"/>
      <c r="G105" s="276"/>
      <c r="H105" s="276"/>
      <c r="I105" s="276"/>
      <c r="J105" s="276"/>
      <c r="K105" s="276"/>
      <c r="L105" s="276"/>
      <c r="M105" s="277"/>
      <c r="N105" s="11"/>
      <c r="R105" s="17"/>
      <c r="S105" s="15"/>
      <c r="AH105" s="3"/>
      <c r="AJ105" s="1"/>
      <c r="AL105" s="3"/>
      <c r="AN105" s="1"/>
      <c r="AO105" s="7"/>
    </row>
    <row r="106" spans="1:41" ht="20.100000000000001" customHeight="1" thickBot="1" x14ac:dyDescent="0.3">
      <c r="A106" s="285" t="s">
        <v>100</v>
      </c>
      <c r="B106" s="286"/>
      <c r="C106" s="286"/>
      <c r="D106" s="273"/>
      <c r="E106" s="323"/>
      <c r="F106" s="324"/>
      <c r="G106" s="324"/>
      <c r="H106" s="324"/>
      <c r="I106" s="324"/>
      <c r="J106" s="324"/>
      <c r="K106" s="324"/>
      <c r="L106" s="324"/>
      <c r="M106" s="325"/>
      <c r="N106" s="11"/>
      <c r="R106" s="17"/>
      <c r="S106" s="15"/>
      <c r="AH106" s="3"/>
      <c r="AJ106" s="1"/>
      <c r="AL106" s="3"/>
      <c r="AN106" s="1"/>
      <c r="AO106" s="7"/>
    </row>
    <row r="107" spans="1:41" ht="20.100000000000001" customHeight="1" thickBot="1" x14ac:dyDescent="0.3">
      <c r="A107" s="285"/>
      <c r="B107" s="286"/>
      <c r="C107" s="286"/>
      <c r="D107" s="287"/>
      <c r="E107" s="326"/>
      <c r="F107" s="327"/>
      <c r="G107" s="327"/>
      <c r="H107" s="327"/>
      <c r="I107" s="327"/>
      <c r="J107" s="327"/>
      <c r="K107" s="327"/>
      <c r="L107" s="327"/>
      <c r="M107" s="328"/>
      <c r="N107" s="11"/>
      <c r="R107" s="17"/>
      <c r="S107" s="15"/>
      <c r="AH107" s="3"/>
      <c r="AJ107" s="1"/>
      <c r="AL107" s="3"/>
      <c r="AN107" s="1"/>
      <c r="AO107" s="7"/>
    </row>
    <row r="108" spans="1:41" ht="20.100000000000001" customHeight="1" thickBot="1" x14ac:dyDescent="0.25">
      <c r="A108" s="285" t="s">
        <v>57</v>
      </c>
      <c r="B108" s="286"/>
      <c r="C108" s="286"/>
      <c r="D108" s="266"/>
      <c r="E108" s="275" t="str">
        <f>IF(D108=A76,CONCATENATE("Для установки со стороны технологической части, при этом крышка ",IF(K89=C47,"SGN.01.600","SGN.02.600"),", упор ",IF(K89=C47,"SGN.01.510","SGN.02.510")," не устанавливаются"),"")</f>
        <v/>
      </c>
      <c r="F108" s="276"/>
      <c r="G108" s="276"/>
      <c r="H108" s="276"/>
      <c r="I108" s="276"/>
      <c r="J108" s="276"/>
      <c r="K108" s="276"/>
      <c r="L108" s="276"/>
      <c r="M108" s="277"/>
      <c r="N108" s="92"/>
      <c r="R108" s="72"/>
      <c r="AC108" s="3"/>
      <c r="AG108" s="3"/>
      <c r="AJ108" s="7"/>
      <c r="AN108" s="1"/>
    </row>
    <row r="109" spans="1:41" ht="20.100000000000001" customHeight="1" thickBot="1" x14ac:dyDescent="0.25">
      <c r="A109" s="285"/>
      <c r="B109" s="286"/>
      <c r="C109" s="286"/>
      <c r="D109" s="266"/>
      <c r="E109" s="275"/>
      <c r="F109" s="276"/>
      <c r="G109" s="276"/>
      <c r="H109" s="276"/>
      <c r="I109" s="276"/>
      <c r="J109" s="276"/>
      <c r="K109" s="276"/>
      <c r="L109" s="276"/>
      <c r="M109" s="277"/>
      <c r="N109" s="92"/>
      <c r="AC109" s="3"/>
      <c r="AG109" s="3"/>
      <c r="AJ109" s="7"/>
      <c r="AN109" s="1"/>
    </row>
    <row r="110" spans="1:41" ht="20.100000000000001" customHeight="1" thickBot="1" x14ac:dyDescent="0.25">
      <c r="A110" s="260" t="s">
        <v>65</v>
      </c>
      <c r="B110" s="261"/>
      <c r="C110" s="261"/>
      <c r="D110" s="266"/>
      <c r="E110" s="275" t="str">
        <f>IF(D110=B76,"- полимерная рейка",IF(D110=B77,"- стальная рейка",""))</f>
        <v/>
      </c>
      <c r="F110" s="276"/>
      <c r="G110" s="276"/>
      <c r="H110" s="276"/>
      <c r="I110" s="276"/>
      <c r="J110" s="276"/>
      <c r="K110" s="276"/>
      <c r="L110" s="276"/>
      <c r="M110" s="277"/>
      <c r="N110" s="11"/>
      <c r="AC110" s="3"/>
      <c r="AG110" s="3"/>
      <c r="AJ110" s="7"/>
      <c r="AN110" s="1"/>
    </row>
    <row r="111" spans="1:41" ht="20.100000000000001" customHeight="1" thickBot="1" x14ac:dyDescent="0.25">
      <c r="A111" s="260"/>
      <c r="B111" s="261"/>
      <c r="C111" s="261"/>
      <c r="D111" s="266"/>
      <c r="E111" s="275"/>
      <c r="F111" s="276"/>
      <c r="G111" s="276"/>
      <c r="H111" s="276"/>
      <c r="I111" s="276"/>
      <c r="J111" s="276"/>
      <c r="K111" s="276"/>
      <c r="L111" s="276"/>
      <c r="M111" s="277"/>
      <c r="N111" s="11"/>
      <c r="AC111" s="3"/>
      <c r="AG111" s="3"/>
      <c r="AJ111" s="7"/>
      <c r="AN111" s="1"/>
    </row>
    <row r="112" spans="1:41" ht="20.100000000000001" customHeight="1" thickBot="1" x14ac:dyDescent="0.25">
      <c r="A112" s="260" t="str">
        <f>IF(D110=B77,"Крепление рейки ROA8","")</f>
        <v/>
      </c>
      <c r="B112" s="261"/>
      <c r="C112" s="261"/>
      <c r="D112" s="266"/>
      <c r="E112" s="275" t="str">
        <f>IF(D112=A76,"- элемент крепления SGN.00.400 и C-образный профиль для крепление реек без сварки","")</f>
        <v/>
      </c>
      <c r="F112" s="276"/>
      <c r="G112" s="276"/>
      <c r="H112" s="276"/>
      <c r="I112" s="276"/>
      <c r="J112" s="276"/>
      <c r="K112" s="276"/>
      <c r="L112" s="276"/>
      <c r="M112" s="277"/>
      <c r="N112" s="11"/>
      <c r="AC112" s="3"/>
      <c r="AG112" s="3"/>
      <c r="AJ112" s="7"/>
      <c r="AN112" s="1"/>
    </row>
    <row r="113" spans="1:43" ht="20.100000000000001" customHeight="1" thickBot="1" x14ac:dyDescent="0.25">
      <c r="A113" s="260"/>
      <c r="B113" s="261"/>
      <c r="C113" s="261"/>
      <c r="D113" s="266"/>
      <c r="E113" s="275"/>
      <c r="F113" s="276"/>
      <c r="G113" s="276"/>
      <c r="H113" s="276"/>
      <c r="I113" s="276"/>
      <c r="J113" s="276"/>
      <c r="K113" s="276"/>
      <c r="L113" s="276"/>
      <c r="M113" s="277"/>
      <c r="N113" s="11"/>
      <c r="AC113" s="3"/>
      <c r="AG113" s="3"/>
      <c r="AJ113" s="7"/>
      <c r="AN113" s="1"/>
    </row>
    <row r="114" spans="1:43" ht="20.100000000000001" customHeight="1" thickBot="1" x14ac:dyDescent="0.25">
      <c r="A114" s="260" t="s">
        <v>86</v>
      </c>
      <c r="B114" s="261"/>
      <c r="C114" s="261"/>
      <c r="D114" s="262"/>
      <c r="E114" s="329"/>
      <c r="F114" s="330"/>
      <c r="G114" s="330"/>
      <c r="H114" s="330"/>
      <c r="I114" s="330"/>
      <c r="J114" s="330"/>
      <c r="K114" s="330"/>
      <c r="L114" s="330"/>
      <c r="M114" s="331"/>
      <c r="N114" s="11"/>
      <c r="AC114" s="3"/>
      <c r="AG114" s="3"/>
      <c r="AJ114" s="7"/>
      <c r="AN114" s="1"/>
    </row>
    <row r="115" spans="1:43" ht="20.100000000000001" customHeight="1" thickBot="1" x14ac:dyDescent="0.25">
      <c r="A115" s="260"/>
      <c r="B115" s="261"/>
      <c r="C115" s="261"/>
      <c r="D115" s="262"/>
      <c r="E115" s="332"/>
      <c r="F115" s="333"/>
      <c r="G115" s="333"/>
      <c r="H115" s="333"/>
      <c r="I115" s="333"/>
      <c r="J115" s="333"/>
      <c r="K115" s="333"/>
      <c r="L115" s="333"/>
      <c r="M115" s="334"/>
      <c r="N115" s="11"/>
      <c r="AC115" s="3"/>
      <c r="AG115" s="3"/>
      <c r="AJ115" s="7"/>
      <c r="AN115" s="1"/>
    </row>
    <row r="116" spans="1:43" ht="20.100000000000001" customHeight="1" thickBot="1" x14ac:dyDescent="0.25">
      <c r="A116" s="260" t="s">
        <v>161</v>
      </c>
      <c r="B116" s="261"/>
      <c r="C116" s="261"/>
      <c r="D116" s="262"/>
      <c r="E116" s="316" t="str">
        <f>IF(AND(D116=0,D114=A85),"Оцинкованной шины необходимой длины нет",IF(AND(D116=0,D114=A86),"Неоцинкованной шины необходимой длины нет",""))</f>
        <v/>
      </c>
      <c r="F116" s="317"/>
      <c r="G116" s="317"/>
      <c r="H116" s="317"/>
      <c r="I116" s="317"/>
      <c r="J116" s="317"/>
      <c r="K116" s="317"/>
      <c r="L116" s="317"/>
      <c r="M116" s="318"/>
      <c r="N116" s="11"/>
      <c r="R116" s="73"/>
      <c r="V116" s="76"/>
      <c r="W116" s="76"/>
      <c r="X116" s="75"/>
      <c r="AC116" s="3"/>
      <c r="AG116" s="3"/>
      <c r="AJ116" s="7"/>
      <c r="AN116" s="1"/>
    </row>
    <row r="117" spans="1:43" ht="20.100000000000001" customHeight="1" thickBot="1" x14ac:dyDescent="0.25">
      <c r="A117" s="260"/>
      <c r="B117" s="261"/>
      <c r="C117" s="261"/>
      <c r="D117" s="262"/>
      <c r="E117" s="316"/>
      <c r="F117" s="317"/>
      <c r="G117" s="317"/>
      <c r="H117" s="317"/>
      <c r="I117" s="317"/>
      <c r="J117" s="317"/>
      <c r="K117" s="317"/>
      <c r="L117" s="317"/>
      <c r="M117" s="318"/>
      <c r="N117" s="11"/>
      <c r="R117" s="73"/>
      <c r="AC117" s="3"/>
      <c r="AG117" s="3"/>
      <c r="AJ117" s="7"/>
      <c r="AN117" s="1"/>
    </row>
    <row r="118" spans="1:43" ht="20.100000000000001" customHeight="1" thickBot="1" x14ac:dyDescent="0.3">
      <c r="A118" s="260" t="str">
        <f>CONCATENATE("Необходима подставка",IF(K89=C47,"SGN.01.200",IF(K89=D47,"SGN.02.200")))</f>
        <v>Необходима подставкаSGN.02.200</v>
      </c>
      <c r="B118" s="261"/>
      <c r="C118" s="261"/>
      <c r="D118" s="262"/>
      <c r="E118" s="335"/>
      <c r="F118" s="336"/>
      <c r="G118" s="336"/>
      <c r="H118" s="336"/>
      <c r="I118" s="336"/>
      <c r="J118" s="336"/>
      <c r="K118" s="336"/>
      <c r="L118" s="336"/>
      <c r="M118" s="337"/>
      <c r="N118" s="11"/>
      <c r="T118" s="73"/>
      <c r="U118" s="15"/>
      <c r="AQ118" s="7"/>
    </row>
    <row r="119" spans="1:43" ht="20.100000000000001" customHeight="1" thickBot="1" x14ac:dyDescent="0.3">
      <c r="A119" s="260"/>
      <c r="B119" s="261"/>
      <c r="C119" s="261"/>
      <c r="D119" s="262"/>
      <c r="E119" s="338"/>
      <c r="F119" s="339"/>
      <c r="G119" s="339"/>
      <c r="H119" s="339"/>
      <c r="I119" s="339"/>
      <c r="J119" s="339"/>
      <c r="K119" s="339"/>
      <c r="L119" s="339"/>
      <c r="M119" s="340"/>
      <c r="N119" s="11"/>
      <c r="Q119" s="73"/>
      <c r="R119" s="15"/>
      <c r="S119" s="76"/>
      <c r="T119" s="76"/>
      <c r="U119" s="75"/>
      <c r="AG119" s="3"/>
      <c r="AJ119" s="1"/>
      <c r="AK119" s="3"/>
      <c r="AN119" s="7"/>
    </row>
    <row r="120" spans="1:43" ht="20.100000000000001" customHeight="1" thickBot="1" x14ac:dyDescent="0.3">
      <c r="A120" s="267" t="s">
        <v>201</v>
      </c>
      <c r="B120" s="268"/>
      <c r="C120" s="269"/>
      <c r="D120" s="273"/>
      <c r="E120" s="316"/>
      <c r="F120" s="317"/>
      <c r="G120" s="317"/>
      <c r="H120" s="317"/>
      <c r="I120" s="317"/>
      <c r="J120" s="317"/>
      <c r="K120" s="317"/>
      <c r="L120" s="317"/>
      <c r="M120" s="318"/>
      <c r="N120" s="11"/>
      <c r="Q120" s="73"/>
      <c r="R120" s="15"/>
      <c r="S120" s="76"/>
      <c r="T120" s="76"/>
      <c r="U120" s="75"/>
      <c r="AG120" s="3"/>
      <c r="AJ120" s="1"/>
      <c r="AK120" s="3"/>
      <c r="AN120" s="7"/>
    </row>
    <row r="121" spans="1:43" ht="20.100000000000001" customHeight="1" thickBot="1" x14ac:dyDescent="0.3">
      <c r="A121" s="270"/>
      <c r="B121" s="271"/>
      <c r="C121" s="272"/>
      <c r="D121" s="274"/>
      <c r="E121" s="316"/>
      <c r="F121" s="317"/>
      <c r="G121" s="317"/>
      <c r="H121" s="317"/>
      <c r="I121" s="317"/>
      <c r="J121" s="317"/>
      <c r="K121" s="317"/>
      <c r="L121" s="317"/>
      <c r="M121" s="318"/>
      <c r="N121" s="11"/>
      <c r="Q121" s="73"/>
      <c r="R121" s="15"/>
      <c r="S121" s="76"/>
      <c r="T121" s="76"/>
      <c r="U121" s="75"/>
      <c r="AG121" s="3"/>
      <c r="AJ121" s="1"/>
      <c r="AK121" s="3"/>
      <c r="AN121" s="7"/>
    </row>
    <row r="122" spans="1:43" ht="20.100000000000001" customHeight="1" thickBot="1" x14ac:dyDescent="0.3">
      <c r="A122" s="267" t="s">
        <v>220</v>
      </c>
      <c r="B122" s="268"/>
      <c r="C122" s="269"/>
      <c r="D122" s="273"/>
      <c r="E122" s="275" t="str">
        <f>IF(D122=A77,"",CONCATENATE("- кронштейн арт. ",IF(K89=C47,C58,D58)," для крепления улавливателей к столбу проема"))</f>
        <v>- кронштейн арт. FLGU.400.0904 для крепления улавливателей к столбу проема</v>
      </c>
      <c r="F122" s="276"/>
      <c r="G122" s="276"/>
      <c r="H122" s="276"/>
      <c r="I122" s="276"/>
      <c r="J122" s="276"/>
      <c r="K122" s="276"/>
      <c r="L122" s="276"/>
      <c r="M122" s="277"/>
      <c r="N122" s="11"/>
      <c r="Q122" s="73"/>
      <c r="R122" s="15"/>
      <c r="S122" s="76"/>
      <c r="T122" s="76"/>
      <c r="U122" s="75"/>
      <c r="AG122" s="3"/>
      <c r="AJ122" s="1"/>
      <c r="AK122" s="3"/>
      <c r="AN122" s="7"/>
    </row>
    <row r="123" spans="1:43" ht="20.100000000000001" customHeight="1" thickBot="1" x14ac:dyDescent="0.3">
      <c r="A123" s="270"/>
      <c r="B123" s="271"/>
      <c r="C123" s="272"/>
      <c r="D123" s="274"/>
      <c r="E123" s="275"/>
      <c r="F123" s="276"/>
      <c r="G123" s="276"/>
      <c r="H123" s="276"/>
      <c r="I123" s="276"/>
      <c r="J123" s="276"/>
      <c r="K123" s="276"/>
      <c r="L123" s="276"/>
      <c r="M123" s="277"/>
      <c r="N123" s="11"/>
      <c r="Q123" s="73"/>
      <c r="R123" s="15"/>
      <c r="S123" s="76"/>
      <c r="T123" s="76"/>
      <c r="U123" s="75"/>
      <c r="AG123" s="3"/>
      <c r="AJ123" s="1"/>
      <c r="AK123" s="3"/>
      <c r="AN123" s="7"/>
    </row>
    <row r="124" spans="1:43" ht="20.100000000000001" customHeight="1" thickBot="1" x14ac:dyDescent="0.3">
      <c r="A124" s="267" t="s">
        <v>160</v>
      </c>
      <c r="B124" s="268"/>
      <c r="C124" s="269"/>
      <c r="D124" s="273"/>
      <c r="E124" s="316" t="str">
        <f>IF(D124="","",CONCATENATE(IF(L78&lt;M78,"Введенное расстояние меньше рассчетного, Iрасч=","- расчетное значение расстояния между опорами: "),M78," мм"))</f>
        <v/>
      </c>
      <c r="F124" s="317"/>
      <c r="G124" s="317"/>
      <c r="H124" s="317"/>
      <c r="I124" s="317"/>
      <c r="J124" s="317"/>
      <c r="K124" s="317"/>
      <c r="L124" s="317"/>
      <c r="M124" s="318"/>
      <c r="N124" s="11"/>
      <c r="Q124" s="73"/>
      <c r="R124" s="15"/>
      <c r="S124" s="76"/>
      <c r="T124" s="76"/>
      <c r="U124" s="75"/>
      <c r="AG124" s="3"/>
      <c r="AJ124" s="1"/>
      <c r="AK124" s="3"/>
      <c r="AN124" s="7"/>
    </row>
    <row r="125" spans="1:43" ht="20.100000000000001" customHeight="1" thickBot="1" x14ac:dyDescent="0.3">
      <c r="A125" s="270"/>
      <c r="B125" s="271"/>
      <c r="C125" s="272"/>
      <c r="D125" s="274"/>
      <c r="E125" s="316"/>
      <c r="F125" s="317"/>
      <c r="G125" s="317"/>
      <c r="H125" s="317"/>
      <c r="I125" s="317"/>
      <c r="J125" s="317"/>
      <c r="K125" s="317"/>
      <c r="L125" s="317"/>
      <c r="M125" s="318"/>
      <c r="N125" s="11"/>
      <c r="Q125" s="73"/>
      <c r="R125" s="15"/>
      <c r="S125" s="76"/>
      <c r="T125" s="76"/>
      <c r="U125" s="75"/>
      <c r="AG125" s="3"/>
      <c r="AJ125" s="1"/>
      <c r="AK125" s="3"/>
      <c r="AN125" s="7"/>
    </row>
    <row r="126" spans="1:43" ht="15" customHeight="1" x14ac:dyDescent="0.2">
      <c r="A126" s="83"/>
      <c r="B126" s="82"/>
      <c r="C126" s="82"/>
      <c r="D126" s="75"/>
      <c r="F126" s="1"/>
      <c r="G126" s="1"/>
      <c r="H126" s="1"/>
      <c r="N126" s="11"/>
      <c r="AG126" s="3"/>
      <c r="AJ126" s="1"/>
      <c r="AK126" s="3"/>
      <c r="AN126" s="7"/>
    </row>
    <row r="127" spans="1:43" ht="15" customHeight="1" x14ac:dyDescent="0.2">
      <c r="A127" s="83"/>
      <c r="B127" s="82"/>
      <c r="C127" s="82"/>
      <c r="D127" s="75"/>
      <c r="F127" s="1"/>
      <c r="G127" s="1"/>
      <c r="H127" s="1"/>
      <c r="N127" s="11"/>
      <c r="AG127" s="3"/>
      <c r="AJ127" s="1"/>
      <c r="AK127" s="3"/>
      <c r="AN127" s="7"/>
    </row>
    <row r="128" spans="1:43" ht="15" customHeight="1" x14ac:dyDescent="0.2">
      <c r="A128" s="83"/>
      <c r="B128" s="82"/>
      <c r="C128" s="82"/>
      <c r="D128" s="75"/>
      <c r="F128" s="1"/>
      <c r="G128" s="1"/>
      <c r="H128" s="1"/>
      <c r="N128" s="11"/>
      <c r="AG128" s="3"/>
      <c r="AJ128" s="1"/>
      <c r="AK128" s="3"/>
      <c r="AN128" s="7"/>
    </row>
    <row r="129" spans="1:43" ht="15" customHeight="1" x14ac:dyDescent="0.2">
      <c r="A129" s="83"/>
      <c r="B129" s="82"/>
      <c r="C129" s="82"/>
      <c r="D129" s="75"/>
      <c r="F129" s="1"/>
      <c r="G129" s="1"/>
      <c r="H129" s="1"/>
      <c r="N129" s="11"/>
      <c r="AG129" s="3"/>
      <c r="AJ129" s="1"/>
      <c r="AK129" s="3"/>
      <c r="AN129" s="7"/>
    </row>
    <row r="130" spans="1:43" ht="15" customHeight="1" x14ac:dyDescent="0.25">
      <c r="A130" s="10"/>
      <c r="D130" s="2"/>
      <c r="F130" s="1"/>
      <c r="G130" s="1"/>
      <c r="H130" s="1"/>
      <c r="N130" s="11"/>
      <c r="R130" s="15"/>
      <c r="S130" s="70"/>
      <c r="T130" s="70"/>
      <c r="U130" s="20"/>
      <c r="Z130" s="59"/>
      <c r="AA130" s="4"/>
      <c r="AG130" s="3"/>
      <c r="AJ130" s="1"/>
      <c r="AK130" s="3"/>
      <c r="AN130" s="7"/>
    </row>
    <row r="131" spans="1:43" ht="15" customHeight="1" x14ac:dyDescent="0.25">
      <c r="A131" s="10"/>
      <c r="D131" s="2"/>
      <c r="F131" s="1"/>
      <c r="G131" s="1"/>
      <c r="H131" s="1"/>
      <c r="N131" s="11"/>
      <c r="R131" s="15"/>
      <c r="S131" s="66"/>
      <c r="T131" s="66"/>
      <c r="U131" s="66"/>
      <c r="AD131" s="3"/>
      <c r="AH131" s="3"/>
      <c r="AJ131" s="1"/>
      <c r="AK131" s="7"/>
      <c r="AN131" s="1"/>
    </row>
    <row r="132" spans="1:43" ht="15" customHeight="1" x14ac:dyDescent="0.45">
      <c r="A132" s="53"/>
      <c r="D132" s="81"/>
      <c r="G132" s="1"/>
      <c r="H132" s="1"/>
      <c r="N132" s="11"/>
      <c r="U132" s="15"/>
      <c r="Y132" s="2"/>
      <c r="Z132" s="2"/>
      <c r="AA132" s="2"/>
      <c r="AC132" s="59"/>
      <c r="AD132" s="4"/>
      <c r="AQ132" s="7"/>
    </row>
    <row r="133" spans="1:43" ht="15" customHeight="1" x14ac:dyDescent="0.45">
      <c r="A133" s="19"/>
      <c r="D133" s="81"/>
      <c r="G133" s="1"/>
      <c r="H133" s="1"/>
      <c r="N133" s="11"/>
      <c r="T133" s="67"/>
      <c r="AQ133" s="7"/>
    </row>
    <row r="134" spans="1:43" ht="15" customHeight="1" x14ac:dyDescent="0.2">
      <c r="A134" s="19"/>
      <c r="B134" s="17"/>
      <c r="C134" s="259">
        <f>L82</f>
        <v>475</v>
      </c>
      <c r="N134" s="11"/>
      <c r="T134" s="67"/>
      <c r="AQ134" s="7"/>
    </row>
    <row r="135" spans="1:43" ht="15" customHeight="1" x14ac:dyDescent="0.2">
      <c r="A135" s="53"/>
      <c r="B135" s="6"/>
      <c r="C135" s="259"/>
      <c r="N135" s="11"/>
      <c r="Y135" s="2"/>
      <c r="Z135" s="2"/>
      <c r="AA135" s="2"/>
      <c r="AQ135" s="7"/>
    </row>
    <row r="136" spans="1:43" x14ac:dyDescent="0.2">
      <c r="A136" s="64"/>
      <c r="B136" s="55"/>
      <c r="C136" s="55"/>
      <c r="D136" s="67"/>
      <c r="E136" s="4"/>
      <c r="F136" s="55"/>
      <c r="G136" s="55"/>
      <c r="H136" s="55"/>
      <c r="I136" s="55"/>
      <c r="N136" s="11"/>
      <c r="T136" s="67"/>
      <c r="AQ136" s="7"/>
    </row>
    <row r="137" spans="1:43" ht="15" customHeight="1" x14ac:dyDescent="0.2">
      <c r="A137" s="64"/>
      <c r="B137" s="55"/>
      <c r="C137" s="55"/>
      <c r="D137" s="58"/>
      <c r="E137" s="67"/>
      <c r="F137" s="67"/>
      <c r="N137" s="11"/>
      <c r="T137" s="16"/>
      <c r="AC137" s="303" t="str">
        <f>IF(D100&gt;700,"Масса створки ворот больше максимально возможной",IF(AND(AA86=C47,D100&gt;400),"Серия SGN.01 не подходит для изготовления створки с указанной массой",IF(AND(AA86=D47,D102&lt;&gt;C40,D100&gt;500),"Опора с пластиковыми роликами не подходит для изготовления ворот с указанной массой створки",IF(AND(AA86=C47,D102&lt;&gt;C43,D100&gt;300),"Опора с пластиковыми роликами не подходит для изготовления ворот с указанной массой створки",""))))</f>
        <v/>
      </c>
      <c r="AD137" s="303"/>
      <c r="AE137" s="303"/>
      <c r="AF137" s="303"/>
    </row>
    <row r="138" spans="1:43" ht="15" customHeight="1" x14ac:dyDescent="0.2">
      <c r="A138" s="64"/>
      <c r="B138" s="55"/>
      <c r="C138" s="55"/>
      <c r="D138" s="58"/>
      <c r="E138" s="67"/>
      <c r="F138" s="67"/>
      <c r="N138" s="11"/>
      <c r="T138" s="16"/>
      <c r="AC138" s="303"/>
      <c r="AD138" s="303"/>
      <c r="AE138" s="303"/>
      <c r="AF138" s="303"/>
    </row>
    <row r="139" spans="1:43" ht="15" customHeight="1" x14ac:dyDescent="0.2">
      <c r="A139" s="64"/>
      <c r="B139" s="55"/>
      <c r="C139" s="55"/>
      <c r="D139" s="58"/>
      <c r="E139" s="67"/>
      <c r="F139" s="67"/>
      <c r="N139" s="11"/>
      <c r="T139" s="16"/>
      <c r="AC139" s="303"/>
      <c r="AD139" s="303"/>
      <c r="AE139" s="303"/>
      <c r="AF139" s="303"/>
    </row>
    <row r="140" spans="1:43" ht="15" customHeight="1" x14ac:dyDescent="0.2">
      <c r="A140" s="64"/>
      <c r="B140" s="55"/>
      <c r="C140" s="55"/>
      <c r="D140" s="58"/>
      <c r="E140" s="67"/>
      <c r="F140" s="67"/>
      <c r="N140" s="11"/>
      <c r="T140" s="16"/>
      <c r="AC140" s="303"/>
      <c r="AD140" s="303"/>
      <c r="AE140" s="303"/>
      <c r="AF140" s="303"/>
    </row>
    <row r="141" spans="1:43" ht="15" customHeight="1" x14ac:dyDescent="0.2">
      <c r="A141" s="64"/>
      <c r="B141" s="55"/>
      <c r="C141" s="55"/>
      <c r="D141" s="58"/>
      <c r="E141" s="67"/>
      <c r="F141" s="67"/>
      <c r="N141" s="11"/>
      <c r="T141" s="16"/>
      <c r="AC141" s="303"/>
      <c r="AD141" s="303"/>
      <c r="AE141" s="303"/>
      <c r="AF141" s="303"/>
    </row>
    <row r="142" spans="1:43" ht="15" customHeight="1" x14ac:dyDescent="0.2">
      <c r="A142" s="64"/>
      <c r="B142" s="55"/>
      <c r="C142" s="55"/>
      <c r="D142" s="58"/>
      <c r="E142" s="67"/>
      <c r="F142" s="67"/>
      <c r="N142" s="11"/>
      <c r="T142" s="16"/>
      <c r="V142" s="300"/>
      <c r="W142" s="300"/>
      <c r="AC142" s="303"/>
      <c r="AD142" s="303"/>
      <c r="AE142" s="303"/>
      <c r="AF142" s="303"/>
    </row>
    <row r="143" spans="1:43" ht="15" customHeight="1" x14ac:dyDescent="0.2">
      <c r="A143" s="64"/>
      <c r="B143" s="55"/>
      <c r="C143" s="55"/>
      <c r="D143" s="58"/>
      <c r="E143" s="4"/>
      <c r="F143" s="4"/>
      <c r="N143" s="11"/>
      <c r="T143" s="16"/>
      <c r="V143" s="300"/>
      <c r="W143" s="300"/>
      <c r="AC143" s="303"/>
      <c r="AD143" s="303"/>
      <c r="AE143" s="303"/>
      <c r="AF143" s="303"/>
    </row>
    <row r="144" spans="1:43" ht="15" customHeight="1" x14ac:dyDescent="0.2">
      <c r="A144" s="64"/>
      <c r="B144" s="55"/>
      <c r="C144" s="55"/>
      <c r="D144" s="58"/>
      <c r="E144" s="4"/>
      <c r="F144" s="4"/>
      <c r="N144" s="21"/>
      <c r="O144" s="16"/>
      <c r="P144" s="16"/>
      <c r="Q144" s="16"/>
      <c r="T144" s="16"/>
      <c r="AC144" s="303"/>
      <c r="AD144" s="303"/>
      <c r="AE144" s="303"/>
      <c r="AF144" s="303"/>
    </row>
    <row r="145" spans="1:40" ht="15" customHeight="1" x14ac:dyDescent="0.2">
      <c r="A145" s="64"/>
      <c r="B145" s="55"/>
      <c r="C145" s="55"/>
      <c r="D145" s="58"/>
      <c r="E145" s="4"/>
      <c r="F145" s="4"/>
      <c r="G145" s="4"/>
      <c r="H145" s="4"/>
      <c r="I145" s="16"/>
      <c r="J145" s="16"/>
      <c r="K145" s="16"/>
      <c r="L145" s="16"/>
      <c r="M145" s="16"/>
      <c r="N145" s="21"/>
      <c r="O145" s="16"/>
      <c r="P145" s="16"/>
      <c r="Q145" s="16"/>
      <c r="R145" s="252"/>
      <c r="T145" s="16"/>
    </row>
    <row r="146" spans="1:40" ht="15" customHeight="1" x14ac:dyDescent="0.2">
      <c r="A146" s="64"/>
      <c r="B146" s="55"/>
      <c r="C146" s="55"/>
      <c r="D146" s="58"/>
      <c r="E146" s="67"/>
      <c r="F146" s="67"/>
      <c r="G146" s="67"/>
      <c r="H146" s="67"/>
      <c r="I146" s="16"/>
      <c r="J146" s="16"/>
      <c r="K146" s="16"/>
      <c r="L146" s="16"/>
      <c r="M146" s="16"/>
      <c r="N146" s="11"/>
      <c r="R146" s="252"/>
      <c r="T146" s="16"/>
    </row>
    <row r="147" spans="1:40" ht="15" customHeight="1" x14ac:dyDescent="0.2">
      <c r="A147" s="64"/>
      <c r="B147" s="55"/>
      <c r="C147" s="55"/>
      <c r="D147" s="58"/>
      <c r="E147" s="67"/>
      <c r="F147" s="67"/>
      <c r="G147" s="67"/>
      <c r="H147" s="67"/>
      <c r="I147" s="16"/>
      <c r="J147" s="16"/>
      <c r="K147" s="16"/>
      <c r="L147" s="16"/>
      <c r="M147" s="16"/>
      <c r="N147" s="11"/>
      <c r="R147" s="252"/>
      <c r="T147" s="16"/>
    </row>
    <row r="148" spans="1:40" ht="15" customHeight="1" x14ac:dyDescent="0.2">
      <c r="A148" s="64"/>
      <c r="B148" s="55"/>
      <c r="C148" s="55"/>
      <c r="D148" s="58"/>
      <c r="E148" s="67"/>
      <c r="F148" s="67"/>
      <c r="G148" s="67"/>
      <c r="H148" s="67"/>
      <c r="I148" s="16"/>
      <c r="J148" s="16"/>
      <c r="K148" s="16"/>
      <c r="L148" s="16"/>
      <c r="M148" s="16"/>
      <c r="N148" s="11"/>
      <c r="R148" s="252"/>
      <c r="T148" s="16"/>
    </row>
    <row r="149" spans="1:40" ht="15" customHeight="1" x14ac:dyDescent="0.2">
      <c r="A149" s="64"/>
      <c r="B149" s="55"/>
      <c r="C149" s="55"/>
      <c r="D149" s="58"/>
      <c r="E149" s="67"/>
      <c r="F149" s="67"/>
      <c r="G149" s="67"/>
      <c r="H149" s="67"/>
      <c r="I149" s="16"/>
      <c r="J149" s="16"/>
      <c r="K149" s="16"/>
      <c r="L149" s="16"/>
      <c r="M149" s="16"/>
      <c r="N149" s="11"/>
      <c r="R149" s="252"/>
      <c r="T149" s="16"/>
    </row>
    <row r="150" spans="1:40" ht="15" customHeight="1" x14ac:dyDescent="0.2">
      <c r="A150" s="64"/>
      <c r="B150" s="55"/>
      <c r="C150" s="55"/>
      <c r="D150" s="58"/>
      <c r="E150" s="67"/>
      <c r="F150" s="67"/>
      <c r="G150" s="67"/>
      <c r="H150" s="67"/>
      <c r="I150" s="16"/>
      <c r="J150" s="16"/>
      <c r="K150" s="16"/>
      <c r="L150" s="16"/>
      <c r="M150" s="16"/>
      <c r="N150" s="21"/>
      <c r="O150" s="16"/>
      <c r="P150" s="16"/>
      <c r="Q150" s="16"/>
      <c r="T150" s="16"/>
    </row>
    <row r="151" spans="1:40" ht="15" customHeight="1" x14ac:dyDescent="0.2">
      <c r="A151" s="64"/>
      <c r="B151" s="55"/>
      <c r="C151" s="55"/>
      <c r="D151" s="58"/>
      <c r="E151" s="67"/>
      <c r="F151" s="67"/>
      <c r="G151" s="67"/>
      <c r="H151" s="67"/>
      <c r="I151" s="16"/>
      <c r="J151" s="16"/>
      <c r="K151" s="16"/>
      <c r="L151" s="16"/>
      <c r="M151" s="16"/>
      <c r="N151" s="21"/>
      <c r="O151" s="16"/>
      <c r="P151" s="16"/>
      <c r="Q151" s="16"/>
      <c r="T151" s="16"/>
    </row>
    <row r="152" spans="1:40" ht="15" customHeight="1" x14ac:dyDescent="0.2">
      <c r="A152" s="64"/>
      <c r="B152" s="55"/>
      <c r="C152" s="55"/>
      <c r="D152" s="58"/>
      <c r="E152" s="67"/>
      <c r="F152" s="67"/>
      <c r="G152" s="67"/>
      <c r="H152" s="67"/>
      <c r="I152" s="16"/>
      <c r="J152" s="16"/>
      <c r="K152" s="16"/>
      <c r="L152" s="16"/>
      <c r="M152" s="16"/>
      <c r="N152" s="21"/>
      <c r="O152" s="16"/>
      <c r="P152" s="16"/>
      <c r="Q152" s="16"/>
      <c r="T152" s="16"/>
    </row>
    <row r="153" spans="1:40" ht="15" customHeight="1" x14ac:dyDescent="0.2">
      <c r="A153" s="64"/>
      <c r="B153" s="55"/>
      <c r="C153" s="55"/>
      <c r="D153" s="58"/>
      <c r="E153" s="67"/>
      <c r="F153" s="67"/>
      <c r="G153" s="67"/>
      <c r="H153" s="67"/>
      <c r="I153" s="16"/>
      <c r="J153" s="16"/>
      <c r="K153" s="16"/>
      <c r="L153" s="16"/>
      <c r="M153" s="16"/>
      <c r="N153" s="21"/>
      <c r="O153" s="16"/>
      <c r="P153" s="16"/>
      <c r="Q153" s="16"/>
      <c r="T153" s="16"/>
    </row>
    <row r="154" spans="1:40" ht="15" customHeight="1" x14ac:dyDescent="0.2">
      <c r="A154" s="54"/>
      <c r="B154" s="57"/>
      <c r="C154" s="6"/>
      <c r="D154" s="16"/>
      <c r="E154" s="20"/>
      <c r="F154" s="20"/>
      <c r="N154" s="21"/>
      <c r="O154" s="16"/>
      <c r="P154" s="16"/>
      <c r="Q154" s="16"/>
      <c r="T154" s="67"/>
    </row>
    <row r="155" spans="1:40" ht="15" customHeight="1" x14ac:dyDescent="0.2">
      <c r="A155" s="54"/>
      <c r="B155" s="57"/>
      <c r="C155" s="6"/>
      <c r="D155" s="16"/>
      <c r="E155" s="20"/>
      <c r="F155" s="20"/>
      <c r="N155" s="21"/>
      <c r="O155" s="16"/>
      <c r="P155" s="16"/>
      <c r="Q155" s="16"/>
      <c r="T155" s="67"/>
    </row>
    <row r="156" spans="1:40" ht="15" customHeight="1" x14ac:dyDescent="0.2">
      <c r="A156" s="10"/>
      <c r="N156" s="11"/>
    </row>
    <row r="157" spans="1:40" ht="15" customHeight="1" x14ac:dyDescent="0.2">
      <c r="A157" s="10"/>
      <c r="N157" s="11"/>
    </row>
    <row r="158" spans="1:40" ht="15" customHeight="1" x14ac:dyDescent="0.2">
      <c r="A158" s="10"/>
      <c r="N158" s="11"/>
    </row>
    <row r="159" spans="1:40" ht="15" customHeight="1" x14ac:dyDescent="0.45">
      <c r="A159" s="10"/>
      <c r="D159" s="81"/>
      <c r="E159" s="1"/>
      <c r="N159" s="11"/>
      <c r="AE159" s="3"/>
      <c r="AI159" s="3"/>
      <c r="AJ159" s="1"/>
      <c r="AN159" s="1"/>
    </row>
    <row r="160" spans="1:40" ht="15" customHeight="1" x14ac:dyDescent="0.45">
      <c r="A160" s="10"/>
      <c r="D160" s="81"/>
      <c r="E160" s="1"/>
      <c r="N160" s="11"/>
      <c r="AE160" s="3"/>
      <c r="AI160" s="3"/>
      <c r="AJ160" s="1"/>
      <c r="AN160" s="1"/>
    </row>
    <row r="161" spans="1:40" ht="15" customHeight="1" x14ac:dyDescent="0.2">
      <c r="A161" s="10"/>
      <c r="C161" s="259">
        <f>L78</f>
        <v>-300</v>
      </c>
      <c r="F161" s="319">
        <f>D98</f>
        <v>0</v>
      </c>
      <c r="G161" s="319"/>
      <c r="H161" s="319"/>
      <c r="N161" s="11"/>
    </row>
    <row r="162" spans="1:40" ht="15" customHeight="1" x14ac:dyDescent="0.2">
      <c r="A162" s="10"/>
      <c r="C162" s="259"/>
      <c r="F162" s="319"/>
      <c r="G162" s="319"/>
      <c r="H162" s="319"/>
      <c r="M162" s="16"/>
      <c r="N162" s="21"/>
      <c r="AE162" s="3"/>
      <c r="AI162" s="3"/>
      <c r="AJ162" s="1"/>
      <c r="AN162" s="1"/>
    </row>
    <row r="163" spans="1:40" ht="15" customHeight="1" x14ac:dyDescent="0.2">
      <c r="A163" s="10"/>
      <c r="H163" s="1"/>
      <c r="M163" s="16"/>
      <c r="N163" s="21"/>
      <c r="AE163" s="3"/>
      <c r="AI163" s="3"/>
      <c r="AJ163" s="1"/>
      <c r="AN163" s="1"/>
    </row>
    <row r="164" spans="1:40" ht="15" customHeight="1" x14ac:dyDescent="0.2">
      <c r="A164" s="10"/>
      <c r="C164" s="259">
        <f>L76</f>
        <v>210</v>
      </c>
      <c r="D164" s="289">
        <f>L74</f>
        <v>285</v>
      </c>
      <c r="L164" s="278">
        <f>L72</f>
        <v>80</v>
      </c>
      <c r="N164" s="11"/>
      <c r="R164" s="16"/>
      <c r="S164" s="16"/>
    </row>
    <row r="165" spans="1:40" ht="15" customHeight="1" x14ac:dyDescent="0.2">
      <c r="A165" s="10"/>
      <c r="C165" s="259"/>
      <c r="D165" s="289"/>
      <c r="F165" s="319">
        <f>L80</f>
        <v>275</v>
      </c>
      <c r="G165" s="319"/>
      <c r="L165" s="278"/>
      <c r="N165" s="11"/>
      <c r="R165" s="16"/>
      <c r="S165" s="16"/>
    </row>
    <row r="166" spans="1:40" ht="15" customHeight="1" x14ac:dyDescent="0.2">
      <c r="A166" s="10"/>
      <c r="F166" s="319"/>
      <c r="G166" s="319"/>
      <c r="N166" s="11"/>
      <c r="R166" s="16"/>
      <c r="S166" s="16"/>
    </row>
    <row r="167" spans="1:40" ht="15" customHeight="1" x14ac:dyDescent="0.2">
      <c r="A167" s="10"/>
      <c r="N167" s="11"/>
      <c r="R167" s="16"/>
      <c r="S167" s="16"/>
    </row>
    <row r="168" spans="1:40" ht="15" customHeight="1" x14ac:dyDescent="0.2">
      <c r="A168" s="10"/>
      <c r="N168" s="11"/>
      <c r="R168" s="16"/>
      <c r="S168" s="16"/>
    </row>
    <row r="169" spans="1:40" ht="15" customHeight="1" x14ac:dyDescent="0.2">
      <c r="A169" s="10"/>
      <c r="N169" s="11"/>
    </row>
    <row r="170" spans="1:40" ht="15" customHeight="1" x14ac:dyDescent="0.2">
      <c r="A170" s="10"/>
      <c r="C170" s="2"/>
      <c r="D170" s="2"/>
      <c r="G170" s="1"/>
      <c r="H170" s="1"/>
      <c r="N170" s="11"/>
      <c r="AG170" s="3"/>
      <c r="AJ170" s="1"/>
      <c r="AK170" s="3"/>
      <c r="AN170" s="1"/>
    </row>
    <row r="171" spans="1:40" ht="15" customHeight="1" x14ac:dyDescent="0.2">
      <c r="A171" s="10"/>
      <c r="C171" s="2"/>
      <c r="D171" s="2"/>
      <c r="G171" s="1"/>
      <c r="H171" s="1"/>
      <c r="N171" s="11"/>
      <c r="AG171" s="3"/>
      <c r="AJ171" s="1"/>
      <c r="AK171" s="3"/>
      <c r="AN171" s="1"/>
    </row>
    <row r="172" spans="1:40" ht="15" customHeight="1" x14ac:dyDescent="0.2">
      <c r="A172" s="10"/>
      <c r="C172" s="2"/>
      <c r="D172" s="2"/>
      <c r="G172" s="1"/>
      <c r="H172" s="1"/>
      <c r="N172" s="11"/>
      <c r="AG172" s="3"/>
      <c r="AJ172" s="1"/>
      <c r="AK172" s="3"/>
      <c r="AN172" s="1"/>
    </row>
    <row r="173" spans="1:40" ht="15" customHeight="1" x14ac:dyDescent="0.2">
      <c r="A173" s="10"/>
      <c r="C173" s="2"/>
      <c r="D173" s="2"/>
      <c r="G173" s="1"/>
      <c r="H173" s="1"/>
      <c r="N173" s="11"/>
      <c r="AG173" s="3"/>
      <c r="AJ173" s="1"/>
      <c r="AK173" s="3"/>
      <c r="AN173" s="1"/>
    </row>
    <row r="174" spans="1:40" ht="15" customHeight="1" x14ac:dyDescent="0.2">
      <c r="A174" s="10"/>
      <c r="C174" s="2"/>
      <c r="D174" s="2"/>
      <c r="G174" s="1"/>
      <c r="H174" s="1"/>
      <c r="N174" s="11"/>
      <c r="AG174" s="3"/>
      <c r="AJ174" s="1"/>
      <c r="AK174" s="3"/>
      <c r="AN174" s="1"/>
    </row>
    <row r="175" spans="1:40" ht="15" customHeight="1" x14ac:dyDescent="0.2">
      <c r="A175" s="10"/>
      <c r="C175" s="2"/>
      <c r="D175" s="2"/>
      <c r="G175" s="1"/>
      <c r="H175" s="1"/>
      <c r="N175" s="11"/>
      <c r="P175" s="288"/>
      <c r="Q175" s="288"/>
      <c r="AG175" s="3"/>
      <c r="AJ175" s="1"/>
      <c r="AK175" s="3"/>
      <c r="AN175" s="1"/>
    </row>
    <row r="176" spans="1:40" ht="15" customHeight="1" x14ac:dyDescent="0.2">
      <c r="A176" s="10"/>
      <c r="C176" s="2"/>
      <c r="D176" s="2"/>
      <c r="G176" s="1"/>
      <c r="H176" s="1"/>
      <c r="N176" s="11"/>
      <c r="P176" s="288"/>
      <c r="Q176" s="288"/>
      <c r="AG176" s="3"/>
      <c r="AJ176" s="1"/>
      <c r="AK176" s="3"/>
      <c r="AN176" s="1"/>
    </row>
    <row r="177" spans="1:20" ht="15" customHeight="1" x14ac:dyDescent="0.2">
      <c r="A177" s="10"/>
      <c r="N177" s="11"/>
      <c r="S177" s="86"/>
      <c r="T177" s="86"/>
    </row>
    <row r="178" spans="1:20" ht="15" customHeight="1" x14ac:dyDescent="0.2">
      <c r="A178" s="10"/>
      <c r="N178" s="11"/>
      <c r="S178" s="86"/>
      <c r="T178" s="86"/>
    </row>
    <row r="179" spans="1:20" ht="15" customHeight="1" x14ac:dyDescent="0.2">
      <c r="A179" s="10"/>
      <c r="N179" s="11"/>
    </row>
    <row r="180" spans="1:20" ht="15" customHeight="1" x14ac:dyDescent="0.2">
      <c r="A180" s="10"/>
      <c r="K180" s="314" t="s">
        <v>229</v>
      </c>
      <c r="L180" s="314"/>
      <c r="M180" s="314"/>
      <c r="N180" s="11"/>
    </row>
    <row r="181" spans="1:20" ht="15" customHeight="1" thickBot="1" x14ac:dyDescent="0.25">
      <c r="A181" s="95"/>
      <c r="B181" s="96"/>
      <c r="C181" s="96"/>
      <c r="D181" s="96"/>
      <c r="E181" s="97"/>
      <c r="F181" s="97"/>
      <c r="G181" s="97"/>
      <c r="H181" s="97"/>
      <c r="I181" s="96"/>
      <c r="J181" s="96"/>
      <c r="K181" s="96"/>
      <c r="L181" s="96"/>
      <c r="M181" s="96"/>
      <c r="N181" s="98"/>
    </row>
    <row r="182" spans="1:20" ht="15" customHeight="1" thickTop="1" x14ac:dyDescent="0.2"/>
    <row r="183" spans="1:20" ht="15" customHeight="1" x14ac:dyDescent="0.2"/>
    <row r="184" spans="1:20" ht="15" customHeight="1" x14ac:dyDescent="0.2"/>
    <row r="185" spans="1:20" ht="15" customHeight="1" x14ac:dyDescent="0.2"/>
    <row r="186" spans="1:20" ht="15" customHeight="1" x14ac:dyDescent="0.2"/>
    <row r="187" spans="1:20" ht="15" customHeight="1" x14ac:dyDescent="0.2"/>
    <row r="188" spans="1:20" ht="15" customHeight="1" x14ac:dyDescent="0.2"/>
    <row r="189" spans="1:20" ht="15" customHeight="1" x14ac:dyDescent="0.2"/>
    <row r="190" spans="1:20" ht="15" customHeight="1" x14ac:dyDescent="0.2"/>
    <row r="191" spans="1:20" ht="15" customHeight="1" x14ac:dyDescent="0.2"/>
    <row r="192" spans="1:20" ht="15" customHeight="1" x14ac:dyDescent="0.2"/>
    <row r="193" spans="1:1" ht="15" customHeight="1" x14ac:dyDescent="0.2"/>
    <row r="194" spans="1:1" ht="15" customHeight="1" x14ac:dyDescent="0.2"/>
    <row r="195" spans="1:1" ht="15" customHeight="1" x14ac:dyDescent="0.2"/>
    <row r="196" spans="1:1" ht="15" customHeight="1" x14ac:dyDescent="0.2"/>
    <row r="197" spans="1:1" ht="15" customHeight="1" x14ac:dyDescent="0.2">
      <c r="A197" s="10"/>
    </row>
    <row r="198" spans="1:1" ht="15" customHeight="1" x14ac:dyDescent="0.2">
      <c r="A198" s="10"/>
    </row>
    <row r="199" spans="1:1" ht="15" customHeight="1" x14ac:dyDescent="0.2">
      <c r="A199" s="10"/>
    </row>
    <row r="200" spans="1:1" ht="15" customHeight="1" x14ac:dyDescent="0.2"/>
    <row r="201" spans="1:1" ht="15" customHeight="1" x14ac:dyDescent="0.2"/>
    <row r="202" spans="1:1" ht="15" customHeight="1" x14ac:dyDescent="0.2"/>
    <row r="203" spans="1:1" ht="15" customHeight="1" x14ac:dyDescent="0.2"/>
    <row r="204" spans="1:1" ht="15" customHeight="1" x14ac:dyDescent="0.2"/>
    <row r="205" spans="1:1" ht="15" customHeight="1" x14ac:dyDescent="0.2"/>
    <row r="206" spans="1:1" ht="15" customHeight="1" x14ac:dyDescent="0.2"/>
    <row r="207" spans="1:1" ht="15" customHeight="1" x14ac:dyDescent="0.2"/>
    <row r="208" spans="1:1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</sheetData>
  <sheetProtection password="CC21" sheet="1" objects="1" scenarios="1"/>
  <dataConsolidate/>
  <customSheetViews>
    <customSheetView guid="{69E37F77-0F0A-4549-A0BD-80262A5262E4}" scale="60" showPageBreaks="1" printArea="1" hiddenRows="1" view="pageBreakPreview" topLeftCell="A252">
      <selection activeCell="A263" sqref="A263"/>
      <rowBreaks count="1" manualBreakCount="1">
        <brk id="293" min="1" max="31" man="1"/>
      </rowBreaks>
      <pageMargins left="0.39370078740157483" right="0.19685039370078741" top="0.27559055118110237" bottom="0.19685039370078741" header="0" footer="0.82677165354330717"/>
      <pageSetup paperSize="9" scale="49" fitToHeight="3" orientation="portrait" horizontalDpi="300" verticalDpi="300" r:id="rId1"/>
      <headerFooter alignWithMargins="0"/>
    </customSheetView>
  </customSheetViews>
  <mergeCells count="97">
    <mergeCell ref="K180:M180"/>
    <mergeCell ref="M80:M81"/>
    <mergeCell ref="E100:M101"/>
    <mergeCell ref="E98:M99"/>
    <mergeCell ref="F165:G166"/>
    <mergeCell ref="K89:L90"/>
    <mergeCell ref="K80:K81"/>
    <mergeCell ref="K82:K83"/>
    <mergeCell ref="F161:H162"/>
    <mergeCell ref="E116:M117"/>
    <mergeCell ref="E106:M107"/>
    <mergeCell ref="E124:M125"/>
    <mergeCell ref="E114:M115"/>
    <mergeCell ref="E118:M119"/>
    <mergeCell ref="E120:M121"/>
    <mergeCell ref="E112:M113"/>
    <mergeCell ref="AA86:AB87"/>
    <mergeCell ref="I89:J90"/>
    <mergeCell ref="AC137:AF144"/>
    <mergeCell ref="V142:W143"/>
    <mergeCell ref="A89:H90"/>
    <mergeCell ref="A104:C105"/>
    <mergeCell ref="D104:D105"/>
    <mergeCell ref="C134:C135"/>
    <mergeCell ref="D114:D115"/>
    <mergeCell ref="A98:C99"/>
    <mergeCell ref="A100:C101"/>
    <mergeCell ref="A102:C103"/>
    <mergeCell ref="D98:D99"/>
    <mergeCell ref="A114:C115"/>
    <mergeCell ref="Q98:R99"/>
    <mergeCell ref="Q100:R101"/>
    <mergeCell ref="R145:R149"/>
    <mergeCell ref="AE1:AF1"/>
    <mergeCell ref="B47:B48"/>
    <mergeCell ref="R81:R82"/>
    <mergeCell ref="L76:L77"/>
    <mergeCell ref="L78:L79"/>
    <mergeCell ref="L80:L81"/>
    <mergeCell ref="L82:L83"/>
    <mergeCell ref="K72:K73"/>
    <mergeCell ref="K64:L65"/>
    <mergeCell ref="G78:I78"/>
    <mergeCell ref="V58:W58"/>
    <mergeCell ref="K66:K67"/>
    <mergeCell ref="L66:L67"/>
    <mergeCell ref="L72:L73"/>
    <mergeCell ref="L74:L75"/>
    <mergeCell ref="Q175:Q176"/>
    <mergeCell ref="P175:P176"/>
    <mergeCell ref="C164:C165"/>
    <mergeCell ref="D164:D165"/>
    <mergeCell ref="V59:W59"/>
    <mergeCell ref="A108:C109"/>
    <mergeCell ref="A110:C111"/>
    <mergeCell ref="A118:C119"/>
    <mergeCell ref="D108:D109"/>
    <mergeCell ref="D110:D111"/>
    <mergeCell ref="D118:D119"/>
    <mergeCell ref="A74:B74"/>
    <mergeCell ref="E108:M109"/>
    <mergeCell ref="E104:M105"/>
    <mergeCell ref="E102:M103"/>
    <mergeCell ref="D100:D101"/>
    <mergeCell ref="P25:P30"/>
    <mergeCell ref="P44:P46"/>
    <mergeCell ref="D102:D103"/>
    <mergeCell ref="K74:K75"/>
    <mergeCell ref="L164:L165"/>
    <mergeCell ref="E110:M111"/>
    <mergeCell ref="B39:F39"/>
    <mergeCell ref="C47:C48"/>
    <mergeCell ref="D47:D48"/>
    <mergeCell ref="A124:C125"/>
    <mergeCell ref="D124:D125"/>
    <mergeCell ref="M78:M79"/>
    <mergeCell ref="A106:C107"/>
    <mergeCell ref="D106:D107"/>
    <mergeCell ref="A120:C121"/>
    <mergeCell ref="D120:D121"/>
    <mergeCell ref="C161:C162"/>
    <mergeCell ref="A116:C117"/>
    <mergeCell ref="D116:D117"/>
    <mergeCell ref="K76:K77"/>
    <mergeCell ref="K78:K79"/>
    <mergeCell ref="E76:F76"/>
    <mergeCell ref="A112:C113"/>
    <mergeCell ref="D112:D113"/>
    <mergeCell ref="A122:C123"/>
    <mergeCell ref="D122:D123"/>
    <mergeCell ref="E122:M123"/>
    <mergeCell ref="Q46:R46"/>
    <mergeCell ref="K68:K69"/>
    <mergeCell ref="L68:L69"/>
    <mergeCell ref="K70:K71"/>
    <mergeCell ref="L70:L71"/>
    <mergeCell ref="K56:L56"/>
  </mergeCells>
  <dataValidations count="13">
    <dataValidation type="list" allowBlank="1" showInputMessage="1" showErrorMessage="1" sqref="D106:D107">
      <formula1>IF(OR($D$104=$E$78,$D$104=$E$81),A82,A81:A82)</formula1>
    </dataValidation>
    <dataValidation type="list" allowBlank="1" showInputMessage="1" showErrorMessage="1" sqref="D119">
      <formula1>IF(OR(D103=C43,D103=C40),E49,E68:E68)</formula1>
    </dataValidation>
    <dataValidation type="list" allowBlank="1" showInputMessage="1" showErrorMessage="1" sqref="D118">
      <formula1>IF(OR(D102=C44,D102=C41),A77,A76:A77)</formula1>
    </dataValidation>
    <dataValidation type="list" allowBlank="1" showInputMessage="1" showErrorMessage="1" sqref="V142">
      <formula1>$C$68:$C$68</formula1>
    </dataValidation>
    <dataValidation type="list" allowBlank="1" showInputMessage="1" showErrorMessage="1" sqref="D114:D115">
      <formula1>$A$85:$A$86</formula1>
    </dataValidation>
    <dataValidation type="list" allowBlank="1" showInputMessage="1" showErrorMessage="1" sqref="D116:D117">
      <formula1>длина</formula1>
    </dataValidation>
    <dataValidation type="list" allowBlank="1" showInputMessage="1" showErrorMessage="1" sqref="Q100:R101 D108:D109 D120:D123">
      <formula1>$A$76:$A$77</formula1>
    </dataValidation>
    <dataValidation type="list" allowBlank="1" showInputMessage="1" showErrorMessage="1" sqref="D104:D105">
      <formula1>IF($K$89=$C$47,$E$77:$E$79,$E$80:$E$82)</formula1>
    </dataValidation>
    <dataValidation type="list" allowBlank="1" showInputMessage="1" showErrorMessage="1" sqref="D102:D103">
      <formula1>опора</formula1>
    </dataValidation>
    <dataValidation type="list" allowBlank="1" showInputMessage="1" showErrorMessage="1" sqref="D110:D111">
      <formula1>$B$76:$B$78</formula1>
    </dataValidation>
    <dataValidation type="list" allowBlank="1" showInputMessage="1" showErrorMessage="1" sqref="AA86">
      <formula1>$C$47:$C$47</formula1>
    </dataValidation>
    <dataValidation type="list" allowBlank="1" showInputMessage="1" showErrorMessage="1" sqref="S83">
      <formula1>#REF!</formula1>
    </dataValidation>
    <dataValidation type="list" allowBlank="1" showInputMessage="1" showErrorMessage="1" sqref="D112:D113">
      <formula1>IF($D$110=$B$77,$A$76:$A$77,$A$78)</formula1>
    </dataValidation>
  </dataValidations>
  <pageMargins left="0.78740157480314965" right="0" top="0.23622047244094491" bottom="0" header="0" footer="0"/>
  <pageSetup paperSize="9" scale="45" orientation="portrait" horizontalDpi="300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8" shapeId="5144" r:id="rId5">
          <objectPr defaultSize="0" autoPict="0" r:id="rId6">
            <anchor moveWithCells="1">
              <from>
                <xdr:col>10</xdr:col>
                <xdr:colOff>47625</xdr:colOff>
                <xdr:row>127</xdr:row>
                <xdr:rowOff>123825</xdr:rowOff>
              </from>
              <to>
                <xdr:col>12</xdr:col>
                <xdr:colOff>619125</xdr:colOff>
                <xdr:row>136</xdr:row>
                <xdr:rowOff>19050</xdr:rowOff>
              </to>
            </anchor>
          </objectPr>
        </oleObject>
      </mc:Choice>
      <mc:Fallback>
        <oleObject progId="AutoCAD.Drawing.18" shapeId="5144" r:id="rId5"/>
      </mc:Fallback>
    </mc:AlternateContent>
    <mc:AlternateContent xmlns:mc="http://schemas.openxmlformats.org/markup-compatibility/2006">
      <mc:Choice Requires="x14">
        <oleObject progId="AutoCAD.Drawing.18" shapeId="5145" r:id="rId7">
          <objectPr defaultSize="0" autoPict="0" r:id="rId8">
            <anchor moveWithCells="1">
              <from>
                <xdr:col>10</xdr:col>
                <xdr:colOff>66675</xdr:colOff>
                <xdr:row>168</xdr:row>
                <xdr:rowOff>66675</xdr:rowOff>
              </from>
              <to>
                <xdr:col>12</xdr:col>
                <xdr:colOff>638175</xdr:colOff>
                <xdr:row>176</xdr:row>
                <xdr:rowOff>161925</xdr:rowOff>
              </to>
            </anchor>
          </objectPr>
        </oleObject>
      </mc:Choice>
      <mc:Fallback>
        <oleObject progId="AutoCAD.Drawing.18" shapeId="5145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0"/>
  <sheetViews>
    <sheetView view="pageBreakPreview" topLeftCell="A75" zoomScale="90" zoomScaleNormal="100" zoomScaleSheetLayoutView="90" workbookViewId="0">
      <selection activeCell="P109" sqref="P109"/>
    </sheetView>
  </sheetViews>
  <sheetFormatPr defaultRowHeight="12.75" outlineLevelRow="1" x14ac:dyDescent="0.2"/>
  <cols>
    <col min="2" max="2" width="20.7109375" customWidth="1"/>
    <col min="3" max="3" width="30.7109375" customWidth="1"/>
    <col min="4" max="8" width="20.7109375" customWidth="1"/>
  </cols>
  <sheetData>
    <row r="1" spans="2:8" hidden="1" outlineLevel="1" x14ac:dyDescent="0.2"/>
    <row r="2" spans="2:8" hidden="1" outlineLevel="1" x14ac:dyDescent="0.2"/>
    <row r="3" spans="2:8" hidden="1" outlineLevel="1" x14ac:dyDescent="0.2"/>
    <row r="4" spans="2:8" hidden="1" outlineLevel="1" x14ac:dyDescent="0.2"/>
    <row r="5" spans="2:8" hidden="1" outlineLevel="1" x14ac:dyDescent="0.2"/>
    <row r="6" spans="2:8" ht="13.5" hidden="1" outlineLevel="1" thickBot="1" x14ac:dyDescent="0.25"/>
    <row r="7" spans="2:8" ht="18" hidden="1" customHeight="1" outlineLevel="1" x14ac:dyDescent="0.2">
      <c r="B7" s="341" t="s">
        <v>12</v>
      </c>
      <c r="C7" s="341" t="s">
        <v>9</v>
      </c>
      <c r="D7" s="341" t="s">
        <v>13</v>
      </c>
      <c r="E7" s="341" t="s">
        <v>207</v>
      </c>
      <c r="F7" s="341" t="s">
        <v>14</v>
      </c>
      <c r="G7" s="341" t="s">
        <v>146</v>
      </c>
      <c r="H7" s="341" t="s">
        <v>147</v>
      </c>
    </row>
    <row r="8" spans="2:8" ht="18" hidden="1" customHeight="1" outlineLevel="1" x14ac:dyDescent="0.2">
      <c r="B8" s="342"/>
      <c r="C8" s="342"/>
      <c r="D8" s="342"/>
      <c r="E8" s="342"/>
      <c r="F8" s="342"/>
      <c r="G8" s="342"/>
      <c r="H8" s="342"/>
    </row>
    <row r="9" spans="2:8" hidden="1" outlineLevel="1" x14ac:dyDescent="0.2">
      <c r="B9" s="1">
        <f>IFERROR(VLOOKUP(D9,'Прайс-лист'!A8:F55,2,FALSE),0)</f>
        <v>524000001</v>
      </c>
      <c r="C9" s="1" t="str">
        <f>IF(РАСЧЕТ!C4="",0,РАСЧЕТ!C4)</f>
        <v>Шина направляющая</v>
      </c>
      <c r="D9" s="1" t="str">
        <f>IF(РАСЧЕТ!B4="",0,РАСЧЕТ!B4)</f>
        <v>SG.02.002.A</v>
      </c>
      <c r="E9" s="1" t="str">
        <f>IFERROR(VLOOKUP(D9,'Прайс-лист'!A8:F55,5,FALSE),0)</f>
        <v>м</v>
      </c>
      <c r="F9" s="1">
        <f>IF(РАСЧЕТ!D4="",0,РАСЧЕТ!D4)</f>
        <v>0</v>
      </c>
      <c r="G9" s="1">
        <f>IFERROR(VLOOKUP(D9,'Прайс-лист'!A8:G55,7,FALSE),0)</f>
        <v>1227</v>
      </c>
      <c r="H9" s="80">
        <f>IFERROR(F9*G9,0)</f>
        <v>0</v>
      </c>
    </row>
    <row r="10" spans="2:8" hidden="1" outlineLevel="1" x14ac:dyDescent="0.2">
      <c r="B10" s="1">
        <f>IFERROR(VLOOKUP(D10,'Прайс-лист'!A9:F56,2,FALSE),0)</f>
        <v>415000100</v>
      </c>
      <c r="C10" s="1" t="str">
        <f>IF(РАСЧЕТ!C5="",0,РАСЧЕТ!C5)</f>
        <v>Улавливатель верхний</v>
      </c>
      <c r="D10" s="1" t="str">
        <f>IF(РАСЧЕТ!B5="",0,РАСЧЕТ!B5)</f>
        <v>SGN.00.500</v>
      </c>
      <c r="E10" s="1" t="str">
        <f>IFERROR(VLOOKUP(D10,'Прайс-лист'!A9:F56,5,FALSE),0)</f>
        <v>шт.</v>
      </c>
      <c r="F10" s="1">
        <f>IF(РАСЧЕТ!D5="",0,РАСЧЕТ!D5)</f>
        <v>1</v>
      </c>
      <c r="G10" s="1">
        <f>IFERROR(VLOOKUP(D10,'Прайс-лист'!A9:G56,7,FALSE),0)</f>
        <v>265.5</v>
      </c>
      <c r="H10" s="80">
        <f t="shared" ref="H10:H40" si="0">IFERROR(F10*G10,0)</f>
        <v>265.5</v>
      </c>
    </row>
    <row r="11" spans="2:8" hidden="1" outlineLevel="1" x14ac:dyDescent="0.2">
      <c r="B11" s="1">
        <f>IFERROR(VLOOKUP(D11,'Прайс-лист'!A10:F57,2,FALSE),0)</f>
        <v>415002600</v>
      </c>
      <c r="C11" s="1" t="str">
        <f>IF(РАСЧЕТ!C6="",0,РАСЧЕТ!C6)</f>
        <v>Ролик поддерживающий</v>
      </c>
      <c r="D11" s="1" t="str">
        <f>IF(РАСЧЕТ!B6="",0,РАСЧЕТ!B6)</f>
        <v>SGN.00.720</v>
      </c>
      <c r="E11" s="1" t="str">
        <f>IFERROR(VLOOKUP(D11,'Прайс-лист'!A10:F57,5,FALSE),0)</f>
        <v>шт.</v>
      </c>
      <c r="F11" s="1" t="e">
        <f>IF(РАСЧЕТ!D6="",0,РАСЧЕТ!D6)</f>
        <v>#N/A</v>
      </c>
      <c r="G11" s="1">
        <f>IFERROR(VLOOKUP(D11,'Прайс-лист'!A10:G57,7,FALSE),0)</f>
        <v>83.25</v>
      </c>
      <c r="H11" s="80">
        <f t="shared" si="0"/>
        <v>0</v>
      </c>
    </row>
    <row r="12" spans="2:8" hidden="1" outlineLevel="1" x14ac:dyDescent="0.2">
      <c r="B12" s="1">
        <f>IFERROR(VLOOKUP(D12,'Прайс-лист'!A11:F58,2,FALSE),0)</f>
        <v>0</v>
      </c>
      <c r="C12" s="1" t="str">
        <f>IF(РАСЧЕТ!C7="",0,РАСЧЕТ!C7)</f>
        <v>Опора роликовая</v>
      </c>
      <c r="D12" s="1">
        <f>IF(РАСЧЕТ!B7="",0,РАСЧЕТ!B7)</f>
        <v>0</v>
      </c>
      <c r="E12" s="1">
        <f>IFERROR(VLOOKUP(D12,'Прайс-лист'!A11:F58,5,FALSE),0)</f>
        <v>0</v>
      </c>
      <c r="F12" s="1">
        <f>IF(РАСЧЕТ!D7="",0,РАСЧЕТ!D7)</f>
        <v>2</v>
      </c>
      <c r="G12" s="1">
        <f>IFERROR(VLOOKUP(D12,'Прайс-лист'!A11:G58,7,FALSE),0)</f>
        <v>0</v>
      </c>
      <c r="H12" s="80">
        <f t="shared" si="0"/>
        <v>0</v>
      </c>
    </row>
    <row r="13" spans="2:8" hidden="1" outlineLevel="1" x14ac:dyDescent="0.2">
      <c r="B13" s="1">
        <f>IFERROR(VLOOKUP(D13,'Прайс-лист'!A12:F59,2,FALSE),0)</f>
        <v>0</v>
      </c>
      <c r="C13" s="1">
        <f>IF(РАСЧЕТ!C8="",0,РАСЧЕТ!C8)</f>
        <v>0</v>
      </c>
      <c r="D13" s="1">
        <f>IF(РАСЧЕТ!B8="",0,РАСЧЕТ!B8)</f>
        <v>0</v>
      </c>
      <c r="E13" s="1">
        <f>IFERROR(VLOOKUP(D13,'Прайс-лист'!A12:F59,5,FALSE),0)</f>
        <v>0</v>
      </c>
      <c r="F13" s="1">
        <f>IF(РАСЧЕТ!D8="",0,РАСЧЕТ!D8)</f>
        <v>0</v>
      </c>
      <c r="G13" s="1">
        <f>IFERROR(VLOOKUP(D13,'Прайс-лист'!A12:G59,7,FALSE),0)</f>
        <v>0</v>
      </c>
      <c r="H13" s="80">
        <f t="shared" si="0"/>
        <v>0</v>
      </c>
    </row>
    <row r="14" spans="2:8" hidden="1" outlineLevel="1" x14ac:dyDescent="0.2">
      <c r="B14" s="1">
        <f>IFERROR(VLOOKUP(D14,'Прайс-лист'!A13:F60,2,FALSE),0)</f>
        <v>415002900</v>
      </c>
      <c r="C14" s="1" t="str">
        <f>IF(РАСЧЕТ!C9="",0,РАСЧЕТ!C9)</f>
        <v>Ролик опорный</v>
      </c>
      <c r="D14" s="1" t="str">
        <f>IF(РАСЧЕТ!B9="",0,РАСЧЕТ!B9)</f>
        <v>SGN.02.320</v>
      </c>
      <c r="E14" s="1" t="str">
        <f>IFERROR(VLOOKUP(D14,'Прайс-лист'!A13:F60,5,FALSE),0)</f>
        <v>шт.</v>
      </c>
      <c r="F14" s="1">
        <f>IF(РАСЧЕТ!D9="",0,РАСЧЕТ!D9)</f>
        <v>2</v>
      </c>
      <c r="G14" s="1">
        <f>IFERROR(VLOOKUP(D14,'Прайс-лист'!A13:G60,7,FALSE),0)</f>
        <v>488.25</v>
      </c>
      <c r="H14" s="80">
        <f t="shared" si="0"/>
        <v>976.5</v>
      </c>
    </row>
    <row r="15" spans="2:8" hidden="1" outlineLevel="1" x14ac:dyDescent="0.2">
      <c r="B15" s="1">
        <f>IFERROR(VLOOKUP(D15,'Прайс-лист'!A14:F61,2,FALSE),0)</f>
        <v>415003000</v>
      </c>
      <c r="C15" s="1" t="str">
        <f>IF(РАСЧЕТ!C10="",0,РАСЧЕТ!C10)</f>
        <v>Улавливатель нижний</v>
      </c>
      <c r="D15" s="1" t="str">
        <f>IF(РАСЧЕТ!B10="",0,РАСЧЕТ!B10)</f>
        <v>SGN.02.420</v>
      </c>
      <c r="E15" s="1" t="str">
        <f>IFERROR(VLOOKUP(D15,'Прайс-лист'!A14:F61,5,FALSE),0)</f>
        <v>шт.</v>
      </c>
      <c r="F15" s="1">
        <f>IF(РАСЧЕТ!D10="",0,РАСЧЕТ!D10)</f>
        <v>1</v>
      </c>
      <c r="G15" s="1">
        <f>IFERROR(VLOOKUP(D15,'Прайс-лист'!A14:G61,7,FALSE),0)</f>
        <v>278.25</v>
      </c>
      <c r="H15" s="80">
        <f t="shared" si="0"/>
        <v>278.25</v>
      </c>
    </row>
    <row r="16" spans="2:8" hidden="1" outlineLevel="1" x14ac:dyDescent="0.2">
      <c r="B16" s="1">
        <f>IFERROR(VLOOKUP(D16,'Прайс-лист'!A15:F62,2,FALSE),0)</f>
        <v>415002000</v>
      </c>
      <c r="C16" s="1" t="str">
        <f>IF(РАСЧЕТ!C11="",0,РАСЧЕТ!C11)</f>
        <v>Упор</v>
      </c>
      <c r="D16" s="1" t="str">
        <f>IF(РАСЧЕТ!B11="",0,РАСЧЕТ!B11)</f>
        <v>SGN.02.510</v>
      </c>
      <c r="E16" s="1" t="str">
        <f>IFERROR(VLOOKUP(D16,'Прайс-лист'!A15:F62,5,FALSE),0)</f>
        <v>шт.</v>
      </c>
      <c r="F16" s="1">
        <f>IF(РАСЧЕТ!D11="",0,РАСЧЕТ!D11)</f>
        <v>1</v>
      </c>
      <c r="G16" s="1">
        <f>IFERROR(VLOOKUP(D16,'Прайс-лист'!A15:G62,7,FALSE),0)</f>
        <v>67.5</v>
      </c>
      <c r="H16" s="80">
        <f t="shared" si="0"/>
        <v>67.5</v>
      </c>
    </row>
    <row r="17" spans="1:8" hidden="1" outlineLevel="1" x14ac:dyDescent="0.2">
      <c r="B17" s="1">
        <f>IFERROR(VLOOKUP(D17,'Прайс-лист'!A16:F63,2,FALSE),0)</f>
        <v>415002100</v>
      </c>
      <c r="C17" s="1" t="str">
        <f>IF(РАСЧЕТ!C12="",0,РАСЧЕТ!C12)</f>
        <v>Крышка</v>
      </c>
      <c r="D17" s="1" t="str">
        <f>IF(РАСЧЕТ!B12="",0,РАСЧЕТ!B12)</f>
        <v>SGN.02.600</v>
      </c>
      <c r="E17" s="1" t="str">
        <f>IFERROR(VLOOKUP(D17,'Прайс-лист'!A16:F63,5,FALSE),0)</f>
        <v>шт.</v>
      </c>
      <c r="F17" s="1">
        <f>IF(РАСЧЕТ!D12="",0,РАСЧЕТ!D12)</f>
        <v>1</v>
      </c>
      <c r="G17" s="1">
        <f>IFERROR(VLOOKUP(D17,'Прайс-лист'!A16:G63,7,FALSE),0)</f>
        <v>92.25</v>
      </c>
      <c r="H17" s="80">
        <f t="shared" si="0"/>
        <v>92.25</v>
      </c>
    </row>
    <row r="18" spans="1:8" hidden="1" outlineLevel="1" x14ac:dyDescent="0.2">
      <c r="B18" s="1">
        <f>IFERROR(VLOOKUP(D18,'Прайс-лист'!A17:F64,2,FALSE),0)</f>
        <v>0</v>
      </c>
      <c r="C18" s="1" t="str">
        <f>IF(РАСЧЕТ!C13="",0,РАСЧЕТ!C13)</f>
        <v>Кронштейн</v>
      </c>
      <c r="D18" s="1">
        <f>IF(РАСЧЕТ!B13="",0,РАСЧЕТ!B13)</f>
        <v>0</v>
      </c>
      <c r="E18" s="1">
        <f>IFERROR(VLOOKUP(D18,'Прайс-лист'!A17:F64,5,FALSE),0)</f>
        <v>0</v>
      </c>
      <c r="F18" s="1">
        <f>IF(РАСЧЕТ!D13="",0,РАСЧЕТ!D13)</f>
        <v>0</v>
      </c>
      <c r="G18" s="1">
        <f>IFERROR(VLOOKUP(D18,'Прайс-лист'!A17:G64,7,FALSE),0)</f>
        <v>0</v>
      </c>
      <c r="H18" s="80">
        <f t="shared" si="0"/>
        <v>0</v>
      </c>
    </row>
    <row r="19" spans="1:8" hidden="1" outlineLevel="1" x14ac:dyDescent="0.2">
      <c r="B19" s="1">
        <f>IFERROR(VLOOKUP(D19,'Прайс-лист'!A18:F65,2,FALSE),0)</f>
        <v>0</v>
      </c>
      <c r="C19" s="1">
        <f>IF(РАСЧЕТ!C14="",0,РАСЧЕТ!C14)</f>
        <v>0</v>
      </c>
      <c r="D19" s="1">
        <f>IF(РАСЧЕТ!B14="",0,РАСЧЕТ!B14)</f>
        <v>0</v>
      </c>
      <c r="E19" s="1">
        <f>IFERROR(VLOOKUP(D19,'Прайс-лист'!A18:F65,5,FALSE),0)</f>
        <v>0</v>
      </c>
      <c r="F19" s="1">
        <f>IF(РАСЧЕТ!D14="",0,РАСЧЕТ!D14)</f>
        <v>0</v>
      </c>
      <c r="G19" s="1">
        <f>IFERROR(VLOOKUP(D19,'Прайс-лист'!A18:G65,7,FALSE),0)</f>
        <v>0</v>
      </c>
      <c r="H19" s="80">
        <f t="shared" si="0"/>
        <v>0</v>
      </c>
    </row>
    <row r="20" spans="1:8" hidden="1" outlineLevel="1" x14ac:dyDescent="0.2">
      <c r="B20" s="1">
        <f>IFERROR(VLOOKUP(D20,'Прайс-лист'!A19:F66,2,FALSE),0)</f>
        <v>0</v>
      </c>
      <c r="C20" s="1">
        <f>IF(РАСЧЕТ!C15="",0,РАСЧЕТ!C15)</f>
        <v>0</v>
      </c>
      <c r="D20" s="1">
        <f>IF(РАСЧЕТ!B15="",0,РАСЧЕТ!B15)</f>
        <v>0</v>
      </c>
      <c r="E20" s="1">
        <f>IFERROR(VLOOKUP(D20,'Прайс-лист'!A19:F66,5,FALSE),0)</f>
        <v>0</v>
      </c>
      <c r="F20" s="1">
        <f>IF(РАСЧЕТ!D15="",0,РАСЧЕТ!D15)</f>
        <v>0</v>
      </c>
      <c r="G20" s="1">
        <f>IFERROR(VLOOKUP(D20,'Прайс-лист'!A19:G66,7,FALSE),0)</f>
        <v>0</v>
      </c>
      <c r="H20" s="80">
        <f t="shared" si="0"/>
        <v>0</v>
      </c>
    </row>
    <row r="21" spans="1:8" hidden="1" outlineLevel="1" x14ac:dyDescent="0.2">
      <c r="B21" s="1">
        <f>IFERROR(VLOOKUP(D21,'Прайс-лист'!A20:F67,2,FALSE),0)</f>
        <v>0</v>
      </c>
      <c r="C21" s="1">
        <f>IF(РАСЧЕТ!C16="",0,РАСЧЕТ!C16)</f>
        <v>0</v>
      </c>
      <c r="D21" s="1">
        <f>IF(РАСЧЕТ!B16="",0,РАСЧЕТ!B16)</f>
        <v>0</v>
      </c>
      <c r="E21" s="1">
        <f>IFERROR(VLOOKUP(D21,'Прайс-лист'!A20:F67,5,FALSE),0)</f>
        <v>0</v>
      </c>
      <c r="F21" s="1">
        <f>IF(РАСЧЕТ!D16="",0,РАСЧЕТ!D16)</f>
        <v>0</v>
      </c>
      <c r="G21" s="1">
        <f>IFERROR(VLOOKUP(D21,'Прайс-лист'!A20:G67,7,FALSE),0)</f>
        <v>0</v>
      </c>
      <c r="H21" s="80">
        <f t="shared" si="0"/>
        <v>0</v>
      </c>
    </row>
    <row r="22" spans="1:8" hidden="1" outlineLevel="1" x14ac:dyDescent="0.2">
      <c r="B22" s="1" t="s">
        <v>115</v>
      </c>
      <c r="C22" s="1" t="str">
        <f>IF(РАСЧЕТ!C17="",0,РАСЧЕТ!C17)</f>
        <v>-</v>
      </c>
      <c r="D22" s="1" t="str">
        <f>IF(РАСЧЕТ!B17="",0,РАСЧЕТ!B17)</f>
        <v>-</v>
      </c>
      <c r="E22" s="1" t="s">
        <v>115</v>
      </c>
      <c r="F22" s="1" t="str">
        <f>IF(РАСЧЕТ!D17="",0,РАСЧЕТ!D17)</f>
        <v>-</v>
      </c>
      <c r="G22" s="1" t="s">
        <v>115</v>
      </c>
      <c r="H22" s="1" t="s">
        <v>115</v>
      </c>
    </row>
    <row r="23" spans="1:8" hidden="1" outlineLevel="1" x14ac:dyDescent="0.2">
      <c r="B23" s="1">
        <f>IFERROR(VLOOKUP(D23,'Прайс-лист'!A22:F69,2,FALSE),0)</f>
        <v>415001700</v>
      </c>
      <c r="C23" s="1" t="str">
        <f>IF(РАСЧЕТ!C18="",0,РАСЧЕТ!C18)</f>
        <v>Подставка</v>
      </c>
      <c r="D23" s="1" t="str">
        <f>IF(РАСЧЕТ!B18="",0,РАСЧЕТ!B18)</f>
        <v>SGN.02.200</v>
      </c>
      <c r="E23" s="1" t="str">
        <f>IFERROR(VLOOKUP(D23,'Прайс-лист'!A22:F69,5,FALSE),0)</f>
        <v>шт.</v>
      </c>
      <c r="F23" s="1">
        <f>IF(РАСЧЕТ!D18="",0,РАСЧЕТ!D18)</f>
        <v>0</v>
      </c>
      <c r="G23" s="1">
        <f>IFERROR(VLOOKUP(D23,'Прайс-лист'!A22:G69,7,FALSE),0)</f>
        <v>758.25</v>
      </c>
      <c r="H23" s="80">
        <f t="shared" si="0"/>
        <v>0</v>
      </c>
    </row>
    <row r="24" spans="1:8" hidden="1" outlineLevel="1" x14ac:dyDescent="0.2">
      <c r="B24" s="1">
        <f>IFERROR(VLOOKUP(D24,'Прайс-лист'!A23:F70,2,FALSE),0)</f>
        <v>0</v>
      </c>
      <c r="C24" s="1" t="str">
        <f>IF(РАСЧЕТ!C19="",0,РАСЧЕТ!C19)</f>
        <v>Рейка зубчатая</v>
      </c>
      <c r="D24" s="1">
        <f>IF(РАСЧЕТ!B19="",0,РАСЧЕТ!B19)</f>
        <v>0</v>
      </c>
      <c r="E24" s="1">
        <f>IFERROR(VLOOKUP(D24,'Прайс-лист'!A23:F70,5,FALSE),0)</f>
        <v>0</v>
      </c>
      <c r="F24" s="1">
        <f>IF(РАСЧЕТ!D19="",0,РАСЧЕТ!D19)</f>
        <v>1</v>
      </c>
      <c r="G24" s="1">
        <f>IFERROR(VLOOKUP(D24,'Прайс-лист'!A23:G70,7,FALSE),0)</f>
        <v>0</v>
      </c>
      <c r="H24" s="80">
        <f t="shared" si="0"/>
        <v>0</v>
      </c>
    </row>
    <row r="25" spans="1:8" hidden="1" outlineLevel="1" x14ac:dyDescent="0.2">
      <c r="B25" s="1">
        <f>IFERROR(VLOOKUP(D25,'Прайс-лист'!A24:F71,2,FALSE),0)</f>
        <v>415004100</v>
      </c>
      <c r="C25" s="1" t="str">
        <f>IF(РАСЧЕТ!C20="",0,РАСЧЕТ!C20)</f>
        <v>Элемент крепления</v>
      </c>
      <c r="D25" s="1" t="str">
        <f>IF(РАСЧЕТ!B20="",0,РАСЧЕТ!B20)</f>
        <v>SGN.00.400</v>
      </c>
      <c r="E25" s="1" t="str">
        <f>IFERROR(VLOOKUP(D25,'Прайс-лист'!A24:F71,5,FALSE),0)</f>
        <v>шт.</v>
      </c>
      <c r="F25" s="1">
        <f>IF(РАСЧЕТ!D20="",0,РАСЧЕТ!D20)</f>
        <v>0</v>
      </c>
      <c r="G25" s="1">
        <f>IFERROR(VLOOKUP(D25,'Прайс-лист'!A24:G71,7,FALSE),0)</f>
        <v>111</v>
      </c>
      <c r="H25" s="80">
        <f t="shared" si="0"/>
        <v>0</v>
      </c>
    </row>
    <row r="26" spans="1:8" hidden="1" outlineLevel="1" x14ac:dyDescent="0.2">
      <c r="B26" s="1">
        <f>IFERROR(VLOOKUP(D26,'Прайс-лист'!A25:F72,2,FALSE),0)</f>
        <v>402480300</v>
      </c>
      <c r="C26" s="1" t="str">
        <f>IF(РАСЧЕТ!C21="",0,РАСЧЕТ!C21)</f>
        <v>C-профиль</v>
      </c>
      <c r="D26" s="1" t="str">
        <f>IF(РАСЧЕТ!B21="",0,РАСЧЕТ!B21)</f>
        <v>PRG-33</v>
      </c>
      <c r="E26" s="1" t="str">
        <f>IFERROR(VLOOKUP(D26,'Прайс-лист'!A25:F72,5,FALSE),0)</f>
        <v>м</v>
      </c>
      <c r="F26" s="1">
        <f>IF(РАСЧЕТ!D21="",0,РАСЧЕТ!D21)</f>
        <v>0</v>
      </c>
      <c r="G26" s="1">
        <f>IFERROR(VLOOKUP(D26,'Прайс-лист'!A25:G72,7,FALSE),0)</f>
        <v>138.75</v>
      </c>
      <c r="H26" s="80">
        <f t="shared" si="0"/>
        <v>0</v>
      </c>
    </row>
    <row r="27" spans="1:8" hidden="1" outlineLevel="1" x14ac:dyDescent="0.2">
      <c r="B27" s="1">
        <f>IFERROR(VLOOKUP(D27,'Прайс-лист'!A26:F73,2,FALSE),0)</f>
        <v>0</v>
      </c>
      <c r="C27" s="1">
        <f>IF(РАСЧЕТ!C22="",0,РАСЧЕТ!C22)</f>
        <v>0</v>
      </c>
      <c r="D27" s="1">
        <f>IF(РАСЧЕТ!B22="",0,РАСЧЕТ!B22)</f>
        <v>0</v>
      </c>
      <c r="E27" s="1">
        <f>IFERROR(VLOOKUP(D27,'Прайс-лист'!A26:F73,5,FALSE),0)</f>
        <v>0</v>
      </c>
      <c r="F27" s="1">
        <f>IF(РАСЧЕТ!D22="",0,РАСЧЕТ!D22)</f>
        <v>0</v>
      </c>
      <c r="G27" s="1">
        <f>IFERROR(VLOOKUP(D27,'Прайс-лист'!A26:G73,7,FALSE),0)</f>
        <v>0</v>
      </c>
      <c r="H27" s="80">
        <f t="shared" si="0"/>
        <v>0</v>
      </c>
    </row>
    <row r="28" spans="1:8" hidden="1" outlineLevel="1" x14ac:dyDescent="0.2">
      <c r="B28" s="1">
        <f>IFERROR(VLOOKUP(D28,'Прайс-лист'!A27:F74,2,FALSE),0)</f>
        <v>407410300</v>
      </c>
      <c r="C28" s="1" t="str">
        <f>IF(РАСЧЕТ!C23="",0,РАСЧЕТ!C23)</f>
        <v>Ручка</v>
      </c>
      <c r="D28" s="1" t="str">
        <f>IF(РАСЧЕТ!B23="",0,РАСЧЕТ!B23)</f>
        <v>HG008</v>
      </c>
      <c r="E28" s="1" t="str">
        <f>IFERROR(VLOOKUP(D28,'Прайс-лист'!A27:F74,5,FALSE),0)</f>
        <v>шт.</v>
      </c>
      <c r="F28" s="1">
        <f>IF(РАСЧЕТ!D23="",0,РАСЧЕТ!D23)</f>
        <v>0</v>
      </c>
      <c r="G28" s="1">
        <f>IFERROR(VLOOKUP(D28,'Прайс-лист'!A27:G74,7,FALSE),0)</f>
        <v>129.75</v>
      </c>
      <c r="H28" s="80">
        <f t="shared" si="0"/>
        <v>0</v>
      </c>
    </row>
    <row r="29" spans="1:8" hidden="1" outlineLevel="1" x14ac:dyDescent="0.2">
      <c r="B29" s="1">
        <f>IFERROR(VLOOKUP(D29,'Прайс-лист'!A28:F75,2,FALSE),0)</f>
        <v>412910200</v>
      </c>
      <c r="C29" s="1" t="str">
        <f>IF(РАСЧЕТ!C24="",0,РАСЧЕТ!C24)</f>
        <v>Кронштейн</v>
      </c>
      <c r="D29" s="1" t="str">
        <f>IF(РАСЧЕТ!B24="",0,РАСЧЕТ!B24)</f>
        <v>FLGU.400.0904</v>
      </c>
      <c r="E29" s="1" t="str">
        <f>IFERROR(VLOOKUP(D29,'Прайс-лист'!A28:F75,5,FALSE),0)</f>
        <v>шт.</v>
      </c>
      <c r="F29" s="1">
        <f>IF(РАСЧЕТ!D24="",0,РАСЧЕТ!D24)</f>
        <v>0</v>
      </c>
      <c r="G29" s="1">
        <f>IFERROR(VLOOKUP(D29,'Прайс-лист'!A28:G75,7,FALSE),0)</f>
        <v>299.25</v>
      </c>
      <c r="H29" s="80">
        <f t="shared" si="0"/>
        <v>0</v>
      </c>
    </row>
    <row r="30" spans="1:8" hidden="1" outlineLevel="1" x14ac:dyDescent="0.2">
      <c r="B30" s="1">
        <f>IFERROR(VLOOKUP(D30,'Прайс-лист'!A29:F76,2,FALSE),0)</f>
        <v>418100300</v>
      </c>
      <c r="C30" s="1" t="str">
        <f>IF(РАСЧЕТ!C25="",0,РАСЧЕТ!C25)</f>
        <v>Болт</v>
      </c>
      <c r="D30" s="1" t="str">
        <f>IF(РАСЧЕТ!B25="",0,РАСЧЕТ!B25)</f>
        <v>M10x30B</v>
      </c>
      <c r="E30" s="1" t="str">
        <f>IFERROR(VLOOKUP(D30,'Прайс-лист'!A29:F76,5,FALSE),0)</f>
        <v>шт.</v>
      </c>
      <c r="F30" s="1">
        <f>IF(РАСЧЕТ!D25="",0,РАСЧЕТ!D25)</f>
        <v>0</v>
      </c>
      <c r="G30" s="1">
        <f>IFERROR(VLOOKUP(D30,'Прайс-лист'!A29:G76,7,FALSE),0)</f>
        <v>12.75</v>
      </c>
      <c r="H30" s="80">
        <f t="shared" si="0"/>
        <v>0</v>
      </c>
    </row>
    <row r="31" spans="1:8" hidden="1" outlineLevel="1" x14ac:dyDescent="0.2">
      <c r="A31" s="216"/>
      <c r="B31" s="1">
        <f>IFERROR(VLOOKUP(D31,'Прайс-лист'!A30:F77,2,FALSE),0)</f>
        <v>418100400</v>
      </c>
      <c r="C31" s="1" t="str">
        <f>IF(РАСЧЕТ!C26="",0,РАСЧЕТ!C26)</f>
        <v>Болт</v>
      </c>
      <c r="D31" s="1" t="str">
        <f>IF(РАСЧЕТ!B26="",0,РАСЧЕТ!B26)</f>
        <v>M16x50B</v>
      </c>
      <c r="E31" s="1" t="str">
        <f>IFERROR(VLOOKUP(D31,'Прайс-лист'!A30:F77,5,FALSE),0)</f>
        <v>шт.</v>
      </c>
      <c r="F31" s="1">
        <f>IF(РАСЧЕТ!D26="",0,РАСЧЕТ!D26)</f>
        <v>0</v>
      </c>
      <c r="G31" s="1">
        <f>IFERROR(VLOOKUP(D31,'Прайс-лист'!A30:G77,7,FALSE),0)</f>
        <v>52.5</v>
      </c>
      <c r="H31" s="80">
        <f t="shared" si="0"/>
        <v>0</v>
      </c>
    </row>
    <row r="32" spans="1:8" hidden="1" outlineLevel="1" x14ac:dyDescent="0.2">
      <c r="B32" s="1">
        <f>IFERROR(VLOOKUP(D32,'Прайс-лист'!A31:F78,2,FALSE),0)</f>
        <v>418400300</v>
      </c>
      <c r="C32" s="1" t="str">
        <f>IF(РАСЧЕТ!C27="",0,РАСЧЕТ!C27)</f>
        <v>Винт самонарезающий</v>
      </c>
      <c r="D32" s="1" t="str">
        <f>IF(РАСЧЕТ!B27="",0,РАСЧЕТ!B27)</f>
        <v>4,8x19SDX</v>
      </c>
      <c r="E32" s="1" t="str">
        <f>IFERROR(VLOOKUP(D32,'Прайс-лист'!A31:F78,5,FALSE),0)</f>
        <v>шт.</v>
      </c>
      <c r="F32" s="1">
        <f>IF(РАСЧЕТ!D27="",0,РАСЧЕТ!D27)</f>
        <v>0</v>
      </c>
      <c r="G32" s="1">
        <f>IFERROR(VLOOKUP(D32,'Прайс-лист'!A31:G78,7,FALSE),0)</f>
        <v>3.75</v>
      </c>
      <c r="H32" s="80">
        <f t="shared" si="0"/>
        <v>0</v>
      </c>
    </row>
    <row r="33" spans="1:8" hidden="1" outlineLevel="1" x14ac:dyDescent="0.2">
      <c r="B33" s="1">
        <f>IFERROR(VLOOKUP(D33,'Прайс-лист'!A32:F79,2,FALSE),0)</f>
        <v>408020200</v>
      </c>
      <c r="C33" s="1" t="str">
        <f>IF(РАСЧЕТ!C28="",0,РАСЧЕТ!C28)</f>
        <v>Винт самонарезающий</v>
      </c>
      <c r="D33" s="1" t="str">
        <f>IF(РАСЧЕТ!B28="",0,РАСЧЕТ!B28)</f>
        <v>8x25S</v>
      </c>
      <c r="E33" s="1" t="str">
        <f>IFERROR(VLOOKUP(D33,'Прайс-лист'!A32:F79,5,FALSE),0)</f>
        <v>шт.</v>
      </c>
      <c r="F33" s="1">
        <f>IF(РАСЧЕТ!D28="",0,РАСЧЕТ!D28)</f>
        <v>0</v>
      </c>
      <c r="G33" s="1">
        <f>IFERROR(VLOOKUP(D33,'Прайс-лист'!A32:G79,7,FALSE),0)</f>
        <v>7.5</v>
      </c>
      <c r="H33" s="80">
        <f t="shared" si="0"/>
        <v>0</v>
      </c>
    </row>
    <row r="34" spans="1:8" hidden="1" outlineLevel="1" x14ac:dyDescent="0.2">
      <c r="B34" s="1">
        <f>IFERROR(VLOOKUP(D34,'Прайс-лист'!A33:F80,2,FALSE),0)</f>
        <v>418600100</v>
      </c>
      <c r="C34" s="1" t="str">
        <f>IF(РАСЧЕТ!C29="",0,РАСЧЕТ!C29)</f>
        <v>Шайба</v>
      </c>
      <c r="D34" s="1" t="str">
        <f>IF(РАСЧЕТ!B29="",0,РАСЧЕТ!B29)</f>
        <v>D10WF</v>
      </c>
      <c r="E34" s="1" t="str">
        <f>IFERROR(VLOOKUP(D34,'Прайс-лист'!A33:F80,5,FALSE),0)</f>
        <v>шт.</v>
      </c>
      <c r="F34" s="1">
        <f>IF(РАСЧЕТ!D29="",0,РАСЧЕТ!D29)</f>
        <v>0</v>
      </c>
      <c r="G34" s="1">
        <f>IFERROR(VLOOKUP(D34,'Прайс-лист'!A33:G80,7,FALSE),0)</f>
        <v>3.75</v>
      </c>
      <c r="H34" s="80">
        <f t="shared" si="0"/>
        <v>0</v>
      </c>
    </row>
    <row r="35" spans="1:8" hidden="1" outlineLevel="1" x14ac:dyDescent="0.2">
      <c r="B35" s="1">
        <f>IFERROR(VLOOKUP(D35,'Прайс-лист'!A34:F81,2,FALSE),0)</f>
        <v>418600500</v>
      </c>
      <c r="C35" s="1" t="str">
        <f>IF(РАСЧЕТ!C30="",0,РАСЧЕТ!C30)</f>
        <v>Шайба</v>
      </c>
      <c r="D35" s="1" t="str">
        <f>IF(РАСЧЕТ!B30="",0,РАСЧЕТ!B30)</f>
        <v>D10WS</v>
      </c>
      <c r="E35" s="1" t="str">
        <f>IFERROR(VLOOKUP(D35,'Прайс-лист'!A34:F81,5,FALSE),0)</f>
        <v>шт.</v>
      </c>
      <c r="F35" s="1">
        <f>IF(РАСЧЕТ!D30="",0,РАСЧЕТ!D30)</f>
        <v>0</v>
      </c>
      <c r="G35" s="1">
        <f>IFERROR(VLOOKUP(D35,'Прайс-лист'!A34:G81,7,FALSE),0)</f>
        <v>7.5</v>
      </c>
      <c r="H35" s="80">
        <f t="shared" si="0"/>
        <v>0</v>
      </c>
    </row>
    <row r="36" spans="1:8" hidden="1" outlineLevel="1" x14ac:dyDescent="0.2">
      <c r="B36" s="1">
        <f>IFERROR(VLOOKUP(D36,'Прайс-лист'!A35:F82,2,FALSE),0)</f>
        <v>418300100</v>
      </c>
      <c r="C36" s="1" t="str">
        <f>IF(РАСЧЕТ!C31="",0,РАСЧЕТ!C31)</f>
        <v>Гайка</v>
      </c>
      <c r="D36" s="1" t="str">
        <f>IF(РАСЧЕТ!B31="",0,РАСЧЕТ!B31)</f>
        <v>M10NS</v>
      </c>
      <c r="E36" s="1" t="str">
        <f>IFERROR(VLOOKUP(D36,'Прайс-лист'!A35:F82,5,FALSE),0)</f>
        <v>шт.</v>
      </c>
      <c r="F36" s="1">
        <f>IF(РАСЧЕТ!D31="",0,РАСЧЕТ!D31)</f>
        <v>0</v>
      </c>
      <c r="G36" s="1">
        <f>IFERROR(VLOOKUP(D36,'Прайс-лист'!A35:G82,7,FALSE),0)</f>
        <v>5.25</v>
      </c>
      <c r="H36" s="80">
        <f t="shared" si="0"/>
        <v>0</v>
      </c>
    </row>
    <row r="37" spans="1:8" hidden="1" outlineLevel="1" x14ac:dyDescent="0.2">
      <c r="B37" s="1">
        <f>IFERROR(VLOOKUP(D37,'Прайс-лист'!A36:F83,2,FALSE),0)</f>
        <v>0</v>
      </c>
      <c r="C37" s="1">
        <f>IF(РАСЧЕТ!C32="",0,РАСЧЕТ!C32)</f>
        <v>0</v>
      </c>
      <c r="D37" s="1">
        <f>IF(РАСЧЕТ!B32="",0,РАСЧЕТ!B32)</f>
        <v>0</v>
      </c>
      <c r="E37" s="1">
        <f>IFERROR(VLOOKUP(D37,'Прайс-лист'!A36:F83,5,FALSE),0)</f>
        <v>0</v>
      </c>
      <c r="F37" s="1">
        <f>IF(РАСЧЕТ!D32="",0,РАСЧЕТ!D32)</f>
        <v>0</v>
      </c>
      <c r="G37" s="1">
        <f>IFERROR(VLOOKUP(D37,'Прайс-лист'!A36:G83,7,FALSE),0)</f>
        <v>0</v>
      </c>
      <c r="H37" s="80">
        <f t="shared" si="0"/>
        <v>0</v>
      </c>
    </row>
    <row r="38" spans="1:8" hidden="1" outlineLevel="1" x14ac:dyDescent="0.2">
      <c r="B38" s="1">
        <f>IFERROR(VLOOKUP(D38,'Прайс-лист'!A37:F84,2,FALSE),0)</f>
        <v>0</v>
      </c>
      <c r="C38" s="1">
        <f>IF(РАСЧЕТ!C33="",0,РАСЧЕТ!C33)</f>
        <v>0</v>
      </c>
      <c r="D38" s="1">
        <f>IF(РАСЧЕТ!B33="",0,РАСЧЕТ!B33)</f>
        <v>0</v>
      </c>
      <c r="E38" s="1">
        <f>IFERROR(VLOOKUP(D38,'Прайс-лист'!A37:F84,5,FALSE),0)</f>
        <v>0</v>
      </c>
      <c r="F38" s="1">
        <f>IF(РАСЧЕТ!D33="",0,РАСЧЕТ!D33)</f>
        <v>0</v>
      </c>
      <c r="G38" s="1">
        <f>IFERROR(VLOOKUP(D38,'Прайс-лист'!A37:G84,7,FALSE),0)</f>
        <v>0</v>
      </c>
      <c r="H38" s="80">
        <f t="shared" si="0"/>
        <v>0</v>
      </c>
    </row>
    <row r="39" spans="1:8" hidden="1" outlineLevel="1" x14ac:dyDescent="0.2">
      <c r="B39" s="1">
        <f>IFERROR(VLOOKUP(D39,'Прайс-лист'!A38:F85,2,FALSE),0)</f>
        <v>0</v>
      </c>
      <c r="C39" s="1">
        <f>IF(РАСЧЕТ!C34="",0,РАСЧЕТ!C34)</f>
        <v>0</v>
      </c>
      <c r="D39" s="1">
        <f>IF(РАСЧЕТ!B34="",0,РАСЧЕТ!B34)</f>
        <v>0</v>
      </c>
      <c r="E39" s="1">
        <f>IFERROR(VLOOKUP(D39,'Прайс-лист'!A38:F85,5,FALSE),0)</f>
        <v>0</v>
      </c>
      <c r="F39" s="1">
        <f>IF(РАСЧЕТ!D34="",0,РАСЧЕТ!D34)</f>
        <v>0</v>
      </c>
      <c r="G39" s="1">
        <f>IFERROR(VLOOKUP(D39,'Прайс-лист'!A38:G85,7,FALSE),0)</f>
        <v>0</v>
      </c>
      <c r="H39" s="80">
        <f t="shared" si="0"/>
        <v>0</v>
      </c>
    </row>
    <row r="40" spans="1:8" ht="13.5" hidden="1" outlineLevel="1" thickBot="1" x14ac:dyDescent="0.25">
      <c r="B40" s="1">
        <f>IFERROR(VLOOKUP(D40,'Прайс-лист'!A44:F86,2,FALSE),0)</f>
        <v>0</v>
      </c>
      <c r="C40" s="1">
        <f>IF(РАСЧЕТ!C35="",0,РАСЧЕТ!C35)</f>
        <v>0</v>
      </c>
      <c r="D40" s="1">
        <f>IF(РАСЧЕТ!B35="",0,РАСЧЕТ!B35)</f>
        <v>0</v>
      </c>
      <c r="E40" s="1">
        <f>IFERROR(VLOOKUP(D40,'Прайс-лист'!A39:F86,5,FALSE),0)</f>
        <v>0</v>
      </c>
      <c r="F40" s="1">
        <f>IF(РАСЧЕТ!D35="",0,РАСЧЕТ!D35)</f>
        <v>0</v>
      </c>
      <c r="G40" s="1">
        <f>IFERROR(VLOOKUP(D40,'Прайс-лист'!A39:G86,7,FALSE),0)</f>
        <v>0</v>
      </c>
      <c r="H40" s="80">
        <f t="shared" si="0"/>
        <v>0</v>
      </c>
    </row>
    <row r="41" spans="1:8" ht="13.5" hidden="1" outlineLevel="1" thickBot="1" x14ac:dyDescent="0.25">
      <c r="A41" s="217"/>
      <c r="B41" s="218"/>
      <c r="C41" s="185"/>
      <c r="D41" s="185"/>
      <c r="E41" s="185"/>
      <c r="F41" s="218"/>
      <c r="G41" s="218"/>
      <c r="H41" s="219"/>
    </row>
    <row r="42" spans="1:8" hidden="1" outlineLevel="1" x14ac:dyDescent="0.2">
      <c r="B42" s="79" t="str">
        <f>IF($H9=0,"",B9)</f>
        <v/>
      </c>
      <c r="C42" s="79" t="str">
        <f t="shared" ref="C42:H42" si="1">IF($H9=0,"",C9)</f>
        <v/>
      </c>
      <c r="D42" s="79" t="str">
        <f t="shared" si="1"/>
        <v/>
      </c>
      <c r="E42" s="79"/>
      <c r="F42" s="79" t="str">
        <f t="shared" si="1"/>
        <v/>
      </c>
      <c r="G42" s="79" t="str">
        <f t="shared" si="1"/>
        <v/>
      </c>
      <c r="H42" s="79" t="str">
        <f t="shared" si="1"/>
        <v/>
      </c>
    </row>
    <row r="43" spans="1:8" hidden="1" outlineLevel="1" x14ac:dyDescent="0.2">
      <c r="B43" s="79">
        <f t="shared" ref="B43:H43" si="2">IF($H10=0,"",B10)</f>
        <v>415000100</v>
      </c>
      <c r="C43" s="79" t="str">
        <f t="shared" si="2"/>
        <v>Улавливатель верхний</v>
      </c>
      <c r="D43" s="79" t="str">
        <f t="shared" si="2"/>
        <v>SGN.00.500</v>
      </c>
      <c r="E43" s="79"/>
      <c r="F43" s="79">
        <f t="shared" si="2"/>
        <v>1</v>
      </c>
      <c r="G43" s="79">
        <f t="shared" si="2"/>
        <v>265.5</v>
      </c>
      <c r="H43" s="79">
        <f t="shared" si="2"/>
        <v>265.5</v>
      </c>
    </row>
    <row r="44" spans="1:8" hidden="1" outlineLevel="1" x14ac:dyDescent="0.2">
      <c r="B44" s="79" t="str">
        <f t="shared" ref="B44:H44" si="3">IF($H11=0,"",B11)</f>
        <v/>
      </c>
      <c r="C44" s="79" t="str">
        <f t="shared" si="3"/>
        <v/>
      </c>
      <c r="D44" s="79" t="str">
        <f t="shared" si="3"/>
        <v/>
      </c>
      <c r="E44" s="79"/>
      <c r="F44" s="79" t="str">
        <f t="shared" si="3"/>
        <v/>
      </c>
      <c r="G44" s="79" t="str">
        <f t="shared" si="3"/>
        <v/>
      </c>
      <c r="H44" s="79" t="str">
        <f t="shared" si="3"/>
        <v/>
      </c>
    </row>
    <row r="45" spans="1:8" hidden="1" outlineLevel="1" x14ac:dyDescent="0.2">
      <c r="B45" s="79" t="str">
        <f t="shared" ref="B45:H45" si="4">IF($H12=0,"",B12)</f>
        <v/>
      </c>
      <c r="C45" s="79" t="str">
        <f t="shared" si="4"/>
        <v/>
      </c>
      <c r="D45" s="79" t="str">
        <f t="shared" si="4"/>
        <v/>
      </c>
      <c r="E45" s="79"/>
      <c r="F45" s="79" t="str">
        <f t="shared" si="4"/>
        <v/>
      </c>
      <c r="G45" s="79" t="str">
        <f t="shared" si="4"/>
        <v/>
      </c>
      <c r="H45" s="79" t="str">
        <f t="shared" si="4"/>
        <v/>
      </c>
    </row>
    <row r="46" spans="1:8" hidden="1" outlineLevel="1" x14ac:dyDescent="0.2">
      <c r="B46" s="79" t="str">
        <f t="shared" ref="B46:H46" si="5">IF($H13=0,"",B13)</f>
        <v/>
      </c>
      <c r="C46" s="79" t="str">
        <f t="shared" si="5"/>
        <v/>
      </c>
      <c r="D46" s="79" t="str">
        <f t="shared" si="5"/>
        <v/>
      </c>
      <c r="E46" s="79"/>
      <c r="F46" s="79" t="str">
        <f t="shared" si="5"/>
        <v/>
      </c>
      <c r="G46" s="79" t="str">
        <f t="shared" si="5"/>
        <v/>
      </c>
      <c r="H46" s="79" t="str">
        <f t="shared" si="5"/>
        <v/>
      </c>
    </row>
    <row r="47" spans="1:8" hidden="1" outlineLevel="1" x14ac:dyDescent="0.2">
      <c r="B47" s="79">
        <f t="shared" ref="B47:H47" si="6">IF($H14=0,"",B14)</f>
        <v>415002900</v>
      </c>
      <c r="C47" s="79" t="str">
        <f t="shared" si="6"/>
        <v>Ролик опорный</v>
      </c>
      <c r="D47" s="79" t="str">
        <f t="shared" si="6"/>
        <v>SGN.02.320</v>
      </c>
      <c r="E47" s="79"/>
      <c r="F47" s="79">
        <f t="shared" si="6"/>
        <v>2</v>
      </c>
      <c r="G47" s="79">
        <f t="shared" si="6"/>
        <v>488.25</v>
      </c>
      <c r="H47" s="79">
        <f t="shared" si="6"/>
        <v>976.5</v>
      </c>
    </row>
    <row r="48" spans="1:8" hidden="1" outlineLevel="1" x14ac:dyDescent="0.2">
      <c r="B48" s="79">
        <f t="shared" ref="B48:H48" si="7">IF($H15=0,"",B15)</f>
        <v>415003000</v>
      </c>
      <c r="C48" s="79" t="str">
        <f t="shared" si="7"/>
        <v>Улавливатель нижний</v>
      </c>
      <c r="D48" s="79" t="str">
        <f t="shared" si="7"/>
        <v>SGN.02.420</v>
      </c>
      <c r="E48" s="79"/>
      <c r="F48" s="79">
        <f t="shared" si="7"/>
        <v>1</v>
      </c>
      <c r="G48" s="79">
        <f t="shared" si="7"/>
        <v>278.25</v>
      </c>
      <c r="H48" s="79">
        <f t="shared" si="7"/>
        <v>278.25</v>
      </c>
    </row>
    <row r="49" spans="2:15" hidden="1" outlineLevel="1" x14ac:dyDescent="0.2">
      <c r="B49" s="79">
        <f t="shared" ref="B49:H49" si="8">IF($H16=0,"",B16)</f>
        <v>415002000</v>
      </c>
      <c r="C49" s="79" t="str">
        <f t="shared" si="8"/>
        <v>Упор</v>
      </c>
      <c r="D49" s="79" t="str">
        <f t="shared" si="8"/>
        <v>SGN.02.510</v>
      </c>
      <c r="E49" s="79"/>
      <c r="F49" s="79">
        <f t="shared" si="8"/>
        <v>1</v>
      </c>
      <c r="G49" s="79">
        <f t="shared" si="8"/>
        <v>67.5</v>
      </c>
      <c r="H49" s="79">
        <f t="shared" si="8"/>
        <v>67.5</v>
      </c>
    </row>
    <row r="50" spans="2:15" hidden="1" outlineLevel="1" x14ac:dyDescent="0.2">
      <c r="B50" s="79">
        <f t="shared" ref="B50:H50" si="9">IF($H17=0,"",B17)</f>
        <v>415002100</v>
      </c>
      <c r="C50" s="79" t="str">
        <f t="shared" si="9"/>
        <v>Крышка</v>
      </c>
      <c r="D50" s="79" t="str">
        <f t="shared" si="9"/>
        <v>SGN.02.600</v>
      </c>
      <c r="E50" s="79"/>
      <c r="F50" s="79">
        <f t="shared" si="9"/>
        <v>1</v>
      </c>
      <c r="G50" s="79">
        <f t="shared" si="9"/>
        <v>92.25</v>
      </c>
      <c r="H50" s="79">
        <f t="shared" si="9"/>
        <v>92.25</v>
      </c>
    </row>
    <row r="51" spans="2:15" hidden="1" outlineLevel="1" x14ac:dyDescent="0.2">
      <c r="B51" s="79" t="str">
        <f t="shared" ref="B51:H51" si="10">IF($H18=0,"",B18)</f>
        <v/>
      </c>
      <c r="C51" s="79" t="str">
        <f t="shared" si="10"/>
        <v/>
      </c>
      <c r="D51" s="79" t="str">
        <f t="shared" si="10"/>
        <v/>
      </c>
      <c r="E51" s="79"/>
      <c r="F51" s="79" t="str">
        <f t="shared" si="10"/>
        <v/>
      </c>
      <c r="G51" s="79" t="str">
        <f t="shared" si="10"/>
        <v/>
      </c>
      <c r="H51" s="79" t="str">
        <f t="shared" si="10"/>
        <v/>
      </c>
    </row>
    <row r="52" spans="2:15" hidden="1" outlineLevel="1" x14ac:dyDescent="0.2">
      <c r="B52" s="79" t="str">
        <f t="shared" ref="B52:H52" si="11">IF($H19=0,"",B19)</f>
        <v/>
      </c>
      <c r="C52" s="79" t="str">
        <f t="shared" si="11"/>
        <v/>
      </c>
      <c r="D52" s="79" t="str">
        <f t="shared" si="11"/>
        <v/>
      </c>
      <c r="E52" s="79"/>
      <c r="F52" s="79" t="str">
        <f t="shared" si="11"/>
        <v/>
      </c>
      <c r="G52" s="79" t="str">
        <f t="shared" si="11"/>
        <v/>
      </c>
      <c r="H52" s="79" t="str">
        <f t="shared" si="11"/>
        <v/>
      </c>
    </row>
    <row r="53" spans="2:15" hidden="1" outlineLevel="1" x14ac:dyDescent="0.2">
      <c r="B53" s="79" t="str">
        <f t="shared" ref="B53:H53" si="12">IF($H20=0,"",B20)</f>
        <v/>
      </c>
      <c r="C53" s="79" t="str">
        <f t="shared" si="12"/>
        <v/>
      </c>
      <c r="D53" s="79" t="str">
        <f t="shared" si="12"/>
        <v/>
      </c>
      <c r="E53" s="79"/>
      <c r="F53" s="79" t="str">
        <f t="shared" si="12"/>
        <v/>
      </c>
      <c r="G53" s="79" t="str">
        <f t="shared" si="12"/>
        <v/>
      </c>
      <c r="H53" s="79" t="str">
        <f t="shared" si="12"/>
        <v/>
      </c>
    </row>
    <row r="54" spans="2:15" ht="15" hidden="1" outlineLevel="1" x14ac:dyDescent="0.2">
      <c r="B54" s="79" t="str">
        <f t="shared" ref="B54:H54" si="13">IF($H21=0,"",B21)</f>
        <v/>
      </c>
      <c r="C54" s="79" t="str">
        <f t="shared" si="13"/>
        <v/>
      </c>
      <c r="D54" s="79" t="str">
        <f t="shared" si="13"/>
        <v/>
      </c>
      <c r="E54" s="79"/>
      <c r="F54" s="79" t="str">
        <f t="shared" si="13"/>
        <v/>
      </c>
      <c r="G54" s="79" t="str">
        <f t="shared" si="13"/>
        <v/>
      </c>
      <c r="H54" s="79" t="str">
        <f t="shared" si="13"/>
        <v/>
      </c>
      <c r="J54" s="222"/>
      <c r="K54" s="223"/>
      <c r="L54" s="223"/>
      <c r="M54" s="222"/>
      <c r="N54" s="222"/>
      <c r="O54" s="222"/>
    </row>
    <row r="55" spans="2:15" ht="15" hidden="1" outlineLevel="1" x14ac:dyDescent="0.2">
      <c r="B55" s="79" t="str">
        <f t="shared" ref="B55:H55" si="14">IF($H22=0,"",B22)</f>
        <v>-</v>
      </c>
      <c r="C55" s="79" t="str">
        <f t="shared" si="14"/>
        <v>-</v>
      </c>
      <c r="D55" s="79" t="str">
        <f t="shared" si="14"/>
        <v>-</v>
      </c>
      <c r="E55" s="79"/>
      <c r="F55" s="79" t="str">
        <f t="shared" si="14"/>
        <v>-</v>
      </c>
      <c r="G55" s="79" t="str">
        <f t="shared" si="14"/>
        <v>-</v>
      </c>
      <c r="H55" s="79" t="str">
        <f t="shared" si="14"/>
        <v>-</v>
      </c>
      <c r="J55" s="222"/>
      <c r="K55" s="223"/>
      <c r="L55" s="223"/>
      <c r="M55" s="222"/>
      <c r="N55" s="222"/>
      <c r="O55" s="222"/>
    </row>
    <row r="56" spans="2:15" ht="15" hidden="1" outlineLevel="1" x14ac:dyDescent="0.2">
      <c r="B56" s="79" t="str">
        <f t="shared" ref="B56:H56" si="15">IF($H23=0,"",B23)</f>
        <v/>
      </c>
      <c r="C56" s="79" t="str">
        <f t="shared" si="15"/>
        <v/>
      </c>
      <c r="D56" s="79" t="str">
        <f t="shared" si="15"/>
        <v/>
      </c>
      <c r="E56" s="79"/>
      <c r="F56" s="79" t="str">
        <f t="shared" si="15"/>
        <v/>
      </c>
      <c r="G56" s="79" t="str">
        <f t="shared" si="15"/>
        <v/>
      </c>
      <c r="H56" s="79" t="str">
        <f t="shared" si="15"/>
        <v/>
      </c>
      <c r="J56" s="222"/>
      <c r="K56" s="223"/>
      <c r="L56" s="223"/>
      <c r="M56" s="222"/>
      <c r="N56" s="222"/>
      <c r="O56" s="222"/>
    </row>
    <row r="57" spans="2:15" ht="15" hidden="1" outlineLevel="1" x14ac:dyDescent="0.2">
      <c r="B57" s="79" t="str">
        <f t="shared" ref="B57:H57" si="16">IF($H24=0,"",B24)</f>
        <v/>
      </c>
      <c r="C57" s="79" t="str">
        <f t="shared" si="16"/>
        <v/>
      </c>
      <c r="D57" s="79" t="str">
        <f t="shared" si="16"/>
        <v/>
      </c>
      <c r="E57" s="79"/>
      <c r="F57" s="79" t="str">
        <f t="shared" si="16"/>
        <v/>
      </c>
      <c r="G57" s="79" t="str">
        <f t="shared" si="16"/>
        <v/>
      </c>
      <c r="H57" s="79" t="str">
        <f t="shared" si="16"/>
        <v/>
      </c>
      <c r="J57" s="222"/>
      <c r="K57" s="223"/>
      <c r="L57" s="223"/>
      <c r="M57" s="222"/>
      <c r="N57" s="222"/>
      <c r="O57" s="222"/>
    </row>
    <row r="58" spans="2:15" ht="15" hidden="1" outlineLevel="1" x14ac:dyDescent="0.2">
      <c r="B58" s="79" t="str">
        <f t="shared" ref="B58:H58" si="17">IF($H25=0,"",B25)</f>
        <v/>
      </c>
      <c r="C58" s="79" t="str">
        <f t="shared" si="17"/>
        <v/>
      </c>
      <c r="D58" s="79" t="str">
        <f t="shared" si="17"/>
        <v/>
      </c>
      <c r="E58" s="79"/>
      <c r="F58" s="79" t="str">
        <f t="shared" si="17"/>
        <v/>
      </c>
      <c r="G58" s="79" t="str">
        <f t="shared" si="17"/>
        <v/>
      </c>
      <c r="H58" s="79" t="str">
        <f t="shared" si="17"/>
        <v/>
      </c>
      <c r="J58" s="222"/>
      <c r="K58" s="223"/>
      <c r="L58" s="223"/>
      <c r="M58" s="222"/>
      <c r="N58" s="222"/>
      <c r="O58" s="222"/>
    </row>
    <row r="59" spans="2:15" ht="15" hidden="1" outlineLevel="1" x14ac:dyDescent="0.2">
      <c r="B59" s="79" t="str">
        <f t="shared" ref="B59:H59" si="18">IF($H26=0,"",B26)</f>
        <v/>
      </c>
      <c r="C59" s="79" t="str">
        <f t="shared" si="18"/>
        <v/>
      </c>
      <c r="D59" s="79" t="str">
        <f t="shared" si="18"/>
        <v/>
      </c>
      <c r="E59" s="79"/>
      <c r="F59" s="79" t="str">
        <f t="shared" si="18"/>
        <v/>
      </c>
      <c r="G59" s="79" t="str">
        <f t="shared" si="18"/>
        <v/>
      </c>
      <c r="H59" s="79" t="str">
        <f t="shared" si="18"/>
        <v/>
      </c>
      <c r="J59" s="222"/>
      <c r="K59" s="223"/>
      <c r="L59" s="223"/>
      <c r="M59" s="222"/>
      <c r="N59" s="222"/>
      <c r="O59" s="222"/>
    </row>
    <row r="60" spans="2:15" ht="15" hidden="1" outlineLevel="1" x14ac:dyDescent="0.2">
      <c r="B60" s="79" t="str">
        <f t="shared" ref="B60:H60" si="19">IF($H27=0,"",B27)</f>
        <v/>
      </c>
      <c r="C60" s="79" t="str">
        <f t="shared" si="19"/>
        <v/>
      </c>
      <c r="D60" s="79" t="str">
        <f t="shared" si="19"/>
        <v/>
      </c>
      <c r="E60" s="79"/>
      <c r="F60" s="79" t="str">
        <f t="shared" si="19"/>
        <v/>
      </c>
      <c r="G60" s="79" t="str">
        <f t="shared" si="19"/>
        <v/>
      </c>
      <c r="H60" s="79" t="str">
        <f t="shared" si="19"/>
        <v/>
      </c>
      <c r="J60" s="222"/>
      <c r="K60" s="223"/>
      <c r="L60" s="223"/>
      <c r="M60" s="222"/>
      <c r="N60" s="222"/>
      <c r="O60" s="222"/>
    </row>
    <row r="61" spans="2:15" ht="15" hidden="1" outlineLevel="1" x14ac:dyDescent="0.2">
      <c r="B61" s="79" t="str">
        <f t="shared" ref="B61:H61" si="20">IF($H28=0,"",B28)</f>
        <v/>
      </c>
      <c r="C61" s="79" t="str">
        <f t="shared" si="20"/>
        <v/>
      </c>
      <c r="D61" s="79" t="str">
        <f t="shared" si="20"/>
        <v/>
      </c>
      <c r="E61" s="79"/>
      <c r="F61" s="79" t="str">
        <f t="shared" si="20"/>
        <v/>
      </c>
      <c r="G61" s="79" t="str">
        <f t="shared" si="20"/>
        <v/>
      </c>
      <c r="H61" s="79" t="str">
        <f t="shared" si="20"/>
        <v/>
      </c>
      <c r="J61" s="222"/>
      <c r="K61" s="223"/>
      <c r="L61" s="223"/>
      <c r="M61" s="222"/>
      <c r="N61" s="222"/>
      <c r="O61" s="222"/>
    </row>
    <row r="62" spans="2:15" ht="15" hidden="1" outlineLevel="1" x14ac:dyDescent="0.2">
      <c r="B62" s="79" t="str">
        <f t="shared" ref="B62:H62" si="21">IF($H29=0,"",B29)</f>
        <v/>
      </c>
      <c r="C62" s="79" t="str">
        <f t="shared" si="21"/>
        <v/>
      </c>
      <c r="D62" s="79" t="str">
        <f t="shared" si="21"/>
        <v/>
      </c>
      <c r="E62" s="79"/>
      <c r="F62" s="79" t="str">
        <f t="shared" si="21"/>
        <v/>
      </c>
      <c r="G62" s="79" t="str">
        <f t="shared" si="21"/>
        <v/>
      </c>
      <c r="H62" s="79" t="str">
        <f t="shared" si="21"/>
        <v/>
      </c>
      <c r="J62" s="222"/>
      <c r="K62" s="223"/>
      <c r="L62" s="223"/>
      <c r="M62" s="222"/>
      <c r="N62" s="222"/>
      <c r="O62" s="222"/>
    </row>
    <row r="63" spans="2:15" ht="15" hidden="1" outlineLevel="1" x14ac:dyDescent="0.2">
      <c r="B63" s="79" t="str">
        <f t="shared" ref="B63:H63" si="22">IF($H30=0,"",B30)</f>
        <v/>
      </c>
      <c r="C63" s="79" t="str">
        <f t="shared" si="22"/>
        <v/>
      </c>
      <c r="D63" s="79" t="str">
        <f t="shared" si="22"/>
        <v/>
      </c>
      <c r="E63" s="79"/>
      <c r="F63" s="79" t="str">
        <f t="shared" si="22"/>
        <v/>
      </c>
      <c r="G63" s="79" t="str">
        <f t="shared" si="22"/>
        <v/>
      </c>
      <c r="H63" s="79" t="str">
        <f t="shared" si="22"/>
        <v/>
      </c>
      <c r="J63" s="222"/>
      <c r="K63" s="223"/>
      <c r="L63" s="223"/>
      <c r="M63" s="222"/>
      <c r="N63" s="222"/>
      <c r="O63" s="222"/>
    </row>
    <row r="64" spans="2:15" ht="15" hidden="1" outlineLevel="1" x14ac:dyDescent="0.2">
      <c r="B64" s="79" t="str">
        <f t="shared" ref="B64:H64" si="23">IF($H31=0,"",B31)</f>
        <v/>
      </c>
      <c r="C64" s="79" t="str">
        <f t="shared" si="23"/>
        <v/>
      </c>
      <c r="D64" s="79" t="str">
        <f t="shared" si="23"/>
        <v/>
      </c>
      <c r="E64" s="79"/>
      <c r="F64" s="79" t="str">
        <f t="shared" si="23"/>
        <v/>
      </c>
      <c r="G64" s="79" t="str">
        <f t="shared" si="23"/>
        <v/>
      </c>
      <c r="H64" s="79" t="str">
        <f t="shared" si="23"/>
        <v/>
      </c>
      <c r="J64" s="222"/>
      <c r="K64" s="223"/>
      <c r="L64" s="223"/>
      <c r="M64" s="222"/>
      <c r="N64" s="222"/>
      <c r="O64" s="222"/>
    </row>
    <row r="65" spans="1:15" ht="15" hidden="1" outlineLevel="1" x14ac:dyDescent="0.2">
      <c r="B65" s="79" t="str">
        <f t="shared" ref="B65:H65" si="24">IF($H32=0,"",B32)</f>
        <v/>
      </c>
      <c r="C65" s="79" t="str">
        <f t="shared" si="24"/>
        <v/>
      </c>
      <c r="D65" s="79" t="str">
        <f t="shared" si="24"/>
        <v/>
      </c>
      <c r="E65" s="79"/>
      <c r="F65" s="79" t="str">
        <f t="shared" si="24"/>
        <v/>
      </c>
      <c r="G65" s="79" t="str">
        <f t="shared" si="24"/>
        <v/>
      </c>
      <c r="H65" s="79" t="str">
        <f t="shared" si="24"/>
        <v/>
      </c>
      <c r="J65" s="222"/>
      <c r="K65" s="223"/>
      <c r="L65" s="223"/>
      <c r="M65" s="222"/>
      <c r="N65" s="222"/>
      <c r="O65" s="222"/>
    </row>
    <row r="66" spans="1:15" ht="15" hidden="1" outlineLevel="1" x14ac:dyDescent="0.2">
      <c r="B66" s="79" t="str">
        <f t="shared" ref="B66:H66" si="25">IF($H33=0,"",B33)</f>
        <v/>
      </c>
      <c r="C66" s="79" t="str">
        <f t="shared" si="25"/>
        <v/>
      </c>
      <c r="D66" s="79" t="str">
        <f t="shared" si="25"/>
        <v/>
      </c>
      <c r="E66" s="79"/>
      <c r="F66" s="79" t="str">
        <f t="shared" si="25"/>
        <v/>
      </c>
      <c r="G66" s="79" t="str">
        <f t="shared" si="25"/>
        <v/>
      </c>
      <c r="H66" s="79" t="str">
        <f t="shared" si="25"/>
        <v/>
      </c>
      <c r="J66" s="222"/>
      <c r="K66" s="223"/>
      <c r="L66" s="223"/>
      <c r="M66" s="222"/>
      <c r="N66" s="222"/>
      <c r="O66" s="222"/>
    </row>
    <row r="67" spans="1:15" ht="15" hidden="1" outlineLevel="1" x14ac:dyDescent="0.2">
      <c r="B67" s="79" t="str">
        <f t="shared" ref="B67:H67" si="26">IF($H34=0,"",B34)</f>
        <v/>
      </c>
      <c r="C67" s="79" t="str">
        <f t="shared" si="26"/>
        <v/>
      </c>
      <c r="D67" s="79" t="str">
        <f t="shared" si="26"/>
        <v/>
      </c>
      <c r="E67" s="79"/>
      <c r="F67" s="79" t="str">
        <f t="shared" si="26"/>
        <v/>
      </c>
      <c r="G67" s="79" t="str">
        <f t="shared" si="26"/>
        <v/>
      </c>
      <c r="H67" s="79" t="str">
        <f t="shared" si="26"/>
        <v/>
      </c>
      <c r="J67" s="222"/>
      <c r="K67" s="223"/>
      <c r="L67" s="223"/>
      <c r="M67" s="222"/>
      <c r="N67" s="222"/>
      <c r="O67" s="222"/>
    </row>
    <row r="68" spans="1:15" ht="15" hidden="1" outlineLevel="1" x14ac:dyDescent="0.2">
      <c r="B68" s="79" t="str">
        <f t="shared" ref="B68:H68" si="27">IF($H35=0,"",B35)</f>
        <v/>
      </c>
      <c r="C68" s="79" t="str">
        <f t="shared" si="27"/>
        <v/>
      </c>
      <c r="D68" s="79" t="str">
        <f t="shared" si="27"/>
        <v/>
      </c>
      <c r="E68" s="79"/>
      <c r="F68" s="79" t="str">
        <f t="shared" si="27"/>
        <v/>
      </c>
      <c r="G68" s="79" t="str">
        <f t="shared" si="27"/>
        <v/>
      </c>
      <c r="H68" s="79" t="str">
        <f t="shared" si="27"/>
        <v/>
      </c>
      <c r="J68" s="222"/>
      <c r="K68" s="223"/>
      <c r="L68" s="223"/>
      <c r="M68" s="222"/>
      <c r="N68" s="222"/>
      <c r="O68" s="222"/>
    </row>
    <row r="69" spans="1:15" ht="15" hidden="1" outlineLevel="1" x14ac:dyDescent="0.2">
      <c r="B69" s="79" t="str">
        <f t="shared" ref="B69:H69" si="28">IF($H36=0,"",B36)</f>
        <v/>
      </c>
      <c r="C69" s="79" t="str">
        <f t="shared" si="28"/>
        <v/>
      </c>
      <c r="D69" s="79" t="str">
        <f t="shared" si="28"/>
        <v/>
      </c>
      <c r="E69" s="79"/>
      <c r="F69" s="79" t="str">
        <f t="shared" si="28"/>
        <v/>
      </c>
      <c r="G69" s="79" t="str">
        <f t="shared" si="28"/>
        <v/>
      </c>
      <c r="H69" s="79" t="str">
        <f t="shared" si="28"/>
        <v/>
      </c>
      <c r="J69" s="222"/>
      <c r="K69" s="223"/>
      <c r="L69" s="223"/>
      <c r="M69" s="222"/>
      <c r="N69" s="222"/>
      <c r="O69" s="222"/>
    </row>
    <row r="70" spans="1:15" ht="15" hidden="1" outlineLevel="1" x14ac:dyDescent="0.2">
      <c r="B70" s="79" t="str">
        <f t="shared" ref="B70:H70" si="29">IF($H37=0,"",B37)</f>
        <v/>
      </c>
      <c r="C70" s="79" t="str">
        <f t="shared" si="29"/>
        <v/>
      </c>
      <c r="D70" s="79" t="str">
        <f t="shared" si="29"/>
        <v/>
      </c>
      <c r="E70" s="79"/>
      <c r="F70" s="79" t="str">
        <f t="shared" si="29"/>
        <v/>
      </c>
      <c r="G70" s="79" t="str">
        <f t="shared" si="29"/>
        <v/>
      </c>
      <c r="H70" s="79" t="str">
        <f t="shared" si="29"/>
        <v/>
      </c>
      <c r="J70" s="222"/>
      <c r="K70" s="223"/>
      <c r="L70" s="223"/>
      <c r="M70" s="222"/>
      <c r="N70" s="222"/>
      <c r="O70" s="222"/>
    </row>
    <row r="71" spans="1:15" ht="15" hidden="1" outlineLevel="1" x14ac:dyDescent="0.2">
      <c r="B71" s="79" t="str">
        <f t="shared" ref="B71:H71" si="30">IF($H38=0,"",B38)</f>
        <v/>
      </c>
      <c r="C71" s="79" t="str">
        <f t="shared" si="30"/>
        <v/>
      </c>
      <c r="D71" s="79" t="str">
        <f t="shared" si="30"/>
        <v/>
      </c>
      <c r="E71" s="79"/>
      <c r="F71" s="79" t="str">
        <f t="shared" si="30"/>
        <v/>
      </c>
      <c r="G71" s="79" t="str">
        <f t="shared" si="30"/>
        <v/>
      </c>
      <c r="H71" s="79" t="str">
        <f t="shared" si="30"/>
        <v/>
      </c>
      <c r="J71" s="222"/>
      <c r="K71" s="223"/>
      <c r="L71" s="223"/>
      <c r="M71" s="222"/>
      <c r="N71" s="222"/>
      <c r="O71" s="222"/>
    </row>
    <row r="72" spans="1:15" ht="15" hidden="1" outlineLevel="1" x14ac:dyDescent="0.2">
      <c r="B72" s="79" t="str">
        <f t="shared" ref="B72:H72" si="31">IF($H39=0,"",B39)</f>
        <v/>
      </c>
      <c r="C72" s="79" t="str">
        <f t="shared" si="31"/>
        <v/>
      </c>
      <c r="D72" s="79" t="str">
        <f t="shared" si="31"/>
        <v/>
      </c>
      <c r="E72" s="79"/>
      <c r="F72" s="79" t="str">
        <f t="shared" si="31"/>
        <v/>
      </c>
      <c r="G72" s="79" t="str">
        <f t="shared" si="31"/>
        <v/>
      </c>
      <c r="H72" s="79" t="str">
        <f t="shared" si="31"/>
        <v/>
      </c>
      <c r="J72" s="222"/>
      <c r="K72" s="223"/>
      <c r="L72" s="223"/>
      <c r="M72" s="222"/>
      <c r="N72" s="222"/>
      <c r="O72" s="222"/>
    </row>
    <row r="73" spans="1:15" ht="15.75" hidden="1" outlineLevel="1" thickBot="1" x14ac:dyDescent="0.25">
      <c r="B73" s="79" t="str">
        <f t="shared" ref="B73:H73" si="32">IF($H40=0,"",B40)</f>
        <v/>
      </c>
      <c r="C73" s="79" t="str">
        <f t="shared" si="32"/>
        <v/>
      </c>
      <c r="D73" s="79" t="str">
        <f t="shared" si="32"/>
        <v/>
      </c>
      <c r="E73" s="79"/>
      <c r="F73" s="79" t="str">
        <f t="shared" si="32"/>
        <v/>
      </c>
      <c r="G73" s="79" t="str">
        <f t="shared" si="32"/>
        <v/>
      </c>
      <c r="H73" s="79" t="str">
        <f t="shared" si="32"/>
        <v/>
      </c>
      <c r="J73" s="222"/>
      <c r="K73" s="223"/>
      <c r="L73" s="223"/>
      <c r="M73" s="222"/>
      <c r="N73" s="222"/>
      <c r="O73" s="222"/>
    </row>
    <row r="74" spans="1:15" ht="15.75" hidden="1" outlineLevel="1" thickBot="1" x14ac:dyDescent="0.25">
      <c r="A74" s="217"/>
      <c r="B74" s="220"/>
      <c r="C74" s="220"/>
      <c r="D74" s="220"/>
      <c r="E74" s="220"/>
      <c r="F74" s="220"/>
      <c r="G74" s="220"/>
      <c r="H74" s="221"/>
      <c r="J74" s="222"/>
      <c r="K74" s="223"/>
      <c r="L74" s="223"/>
      <c r="M74" s="222"/>
      <c r="N74" s="222"/>
      <c r="O74" s="222"/>
    </row>
    <row r="75" spans="1:15" ht="15.75" collapsed="1" thickBot="1" x14ac:dyDescent="0.25">
      <c r="A75" s="229"/>
      <c r="B75" s="229"/>
      <c r="C75" s="229"/>
      <c r="D75" s="229"/>
      <c r="E75" s="229"/>
      <c r="F75" s="229"/>
      <c r="G75" s="229"/>
      <c r="H75" s="229"/>
      <c r="I75" s="229"/>
      <c r="J75" s="222"/>
      <c r="K75" s="223"/>
      <c r="L75" s="223"/>
      <c r="M75" s="222"/>
      <c r="N75" s="222"/>
      <c r="O75" s="222"/>
    </row>
    <row r="76" spans="1:15" ht="16.5" thickBot="1" x14ac:dyDescent="0.25">
      <c r="A76" s="229"/>
      <c r="B76" s="227" t="s">
        <v>106</v>
      </c>
      <c r="C76" s="227" t="s">
        <v>108</v>
      </c>
      <c r="D76" s="228" t="s">
        <v>107</v>
      </c>
      <c r="E76" s="227" t="s">
        <v>208</v>
      </c>
      <c r="F76" s="227" t="s">
        <v>209</v>
      </c>
      <c r="G76" s="227" t="s">
        <v>213</v>
      </c>
      <c r="H76" s="227" t="s">
        <v>147</v>
      </c>
      <c r="I76" s="229"/>
      <c r="L76" s="229"/>
    </row>
    <row r="77" spans="1:15" x14ac:dyDescent="0.2">
      <c r="A77" s="229"/>
      <c r="B77" s="230">
        <f t="array" aca="1" ref="B77" ca="1">IF(ROW()-ROW(B$77:B$109)+1&gt;ROWS(B$42:B$73)-COUNTBLANK(B$42:B$73),"",INDIRECT(ADDRESS(SMALL((IF(B$42:B$73&lt;&gt;"",ROW(B$42:B$73),ROW()+ROWS(B$42:B$73))),ROW()-ROW(B$77:B$109)+1),COLUMN(B$42:B$73),4)))</f>
        <v>415000100</v>
      </c>
      <c r="C77" s="231" t="str">
        <f t="array" aca="1" ref="C77" ca="1">IF(ROW()-ROW(C$77:C$109)+1&gt;ROWS(C$42:C$73)-COUNTBLANK(C$42:C$73),"",INDIRECT(ADDRESS(SMALL((IF(C$42:C$73&lt;&gt;"",ROW(C$42:C$73),ROW()+ROWS(C$42:C$73))),ROW()-ROW(C$77:C$109)+1),COLUMN(C$42:C$73),4)))</f>
        <v>Улавливатель верхний</v>
      </c>
      <c r="D77" s="232" t="str">
        <f t="array" aca="1" ref="D77" ca="1">IF(ROW()-ROW(D$77:D$109)+1&gt;ROWS(D$42:D$73)-COUNTBLANK(D$42:D$73),"",INDIRECT(ADDRESS(SMALL((IF(D$42:D$73&lt;&gt;"",ROW(D$42:D$73),ROW()+ROWS(D$42:D$73))),ROW()-ROW(D$77:D$109)+1),COLUMN(D$42:D$73),4)))</f>
        <v>SGN.00.500</v>
      </c>
      <c r="E77" s="231"/>
      <c r="F77" s="231">
        <f t="array" aca="1" ref="F77" ca="1">IF(ROW()-ROW(F$77:F$109)+1&gt;ROWS(F$42:F$73)-COUNTBLANK(F$42:F$73),"",INDIRECT(ADDRESS(SMALL((IF(F$42:F$73&lt;&gt;"",ROW(F$42:F$73),ROW()+ROWS(F$42:F$73))),ROW()-ROW(F$77:F$109)+1),COLUMN(F$42:F$73),4)))</f>
        <v>1</v>
      </c>
      <c r="G77" s="232">
        <f t="array" aca="1" ref="G77" ca="1">IF(ROW()-ROW(G$77:G$109)+1&gt;ROWS(G$42:G$73)-COUNTBLANK(G$42:G$73),"",INDIRECT(ADDRESS(SMALL((IF(G$42:G$73&lt;&gt;"",ROW(G$42:G$73),ROW()+ROWS(G$42:G$73))),ROW()-ROW(G$77:G$109)+1),COLUMN(G$42:G$73),4)))</f>
        <v>265.5</v>
      </c>
      <c r="H77" s="231">
        <f t="array" aca="1" ref="H77" ca="1">IF(ROW()-ROW(H$77:H$109)+1&gt;ROWS(H$42:H$73)-COUNTBLANK(H$42:H$73),"",INDIRECT(ADDRESS(SMALL((IF(H$42:H$73&lt;&gt;"",ROW(H$42:H$73),ROW()+ROWS(H$42:H$73))),ROW()-ROW(H$77:H$109)+1),COLUMN(H$42:H$73),4)))</f>
        <v>265.5</v>
      </c>
      <c r="I77" s="229"/>
      <c r="L77" s="229"/>
    </row>
    <row r="78" spans="1:15" x14ac:dyDescent="0.2">
      <c r="A78" s="229"/>
      <c r="B78" s="233">
        <f t="array" aca="1" ref="B78" ca="1">IF(ROW()-ROW(B$77:B$109)+1&gt;ROWS(B$42:B$73)-COUNTBLANK(B$42:B$73),"",INDIRECT(ADDRESS(SMALL((IF(B$42:B$73&lt;&gt;"",ROW(B$42:B$73),ROW()+ROWS(B$42:B$73))),ROW()-ROW(B$77:B$109)+1),COLUMN(B$42:B$73),4)))</f>
        <v>415002900</v>
      </c>
      <c r="C78" s="234" t="str">
        <f t="array" aca="1" ref="C78" ca="1">IF(ROW()-ROW(C$77:C$109)+1&gt;ROWS(C$42:C$73)-COUNTBLANK(C$42:C$73),"",INDIRECT(ADDRESS(SMALL((IF(C$42:C$73&lt;&gt;"",ROW(C$42:C$73),ROW()+ROWS(C$42:C$73))),ROW()-ROW(C$77:C$109)+1),COLUMN(C$42:C$73),4)))</f>
        <v>Ролик опорный</v>
      </c>
      <c r="D78" s="235" t="str">
        <f t="array" aca="1" ref="D78" ca="1">IF(ROW()-ROW(D$77:D$109)+1&gt;ROWS(D$42:D$73)-COUNTBLANK(D$42:D$73),"",INDIRECT(ADDRESS(SMALL((IF(D$42:D$73&lt;&gt;"",ROW(D$42:D$73),ROW()+ROWS(D$42:D$73))),ROW()-ROW(D$77:D$109)+1),COLUMN(D$42:D$73),4)))</f>
        <v>SGN.02.320</v>
      </c>
      <c r="E78" s="234"/>
      <c r="F78" s="234">
        <f t="array" aca="1" ref="F78" ca="1">IF(ROW()-ROW(F$77:F$109)+1&gt;ROWS(F$42:F$73)-COUNTBLANK(F$42:F$73),"",INDIRECT(ADDRESS(SMALL((IF(F$42:F$73&lt;&gt;"",ROW(F$42:F$73),ROW()+ROWS(F$42:F$73))),ROW()-ROW(F$77:F$109)+1),COLUMN(F$42:F$73),4)))</f>
        <v>2</v>
      </c>
      <c r="G78" s="235">
        <f t="array" aca="1" ref="G78" ca="1">IF(ROW()-ROW(G$77:G$109)+1&gt;ROWS(G$42:G$73)-COUNTBLANK(G$42:G$73),"",INDIRECT(ADDRESS(SMALL((IF(G$42:G$73&lt;&gt;"",ROW(G$42:G$73),ROW()+ROWS(G$42:G$73))),ROW()-ROW(G$77:G$109)+1),COLUMN(G$42:G$73),4)))</f>
        <v>488.25</v>
      </c>
      <c r="H78" s="234">
        <f t="array" aca="1" ref="H78" ca="1">IF(ROW()-ROW(H$77:H$109)+1&gt;ROWS(H$42:H$73)-COUNTBLANK(H$42:H$73),"",INDIRECT(ADDRESS(SMALL((IF(H$42:H$73&lt;&gt;"",ROW(H$42:H$73),ROW()+ROWS(H$42:H$73))),ROW()-ROW(H$77:H$109)+1),COLUMN(H$42:H$73),4)))</f>
        <v>976.5</v>
      </c>
      <c r="I78" s="229"/>
      <c r="L78" s="229"/>
    </row>
    <row r="79" spans="1:15" x14ac:dyDescent="0.2">
      <c r="A79" s="229"/>
      <c r="B79" s="233">
        <f t="array" aca="1" ref="B79" ca="1">IF(ROW()-ROW(B$77:B$109)+1&gt;ROWS(B$42:B$73)-COUNTBLANK(B$42:B$73),"",INDIRECT(ADDRESS(SMALL((IF(B$42:B$73&lt;&gt;"",ROW(B$42:B$73),ROW()+ROWS(B$42:B$73))),ROW()-ROW(B$77:B$109)+1),COLUMN(B$42:B$73),4)))</f>
        <v>415003000</v>
      </c>
      <c r="C79" s="234" t="str">
        <f t="array" aca="1" ref="C79" ca="1">IF(ROW()-ROW(C$77:C$109)+1&gt;ROWS(C$42:C$73)-COUNTBLANK(C$42:C$73),"",INDIRECT(ADDRESS(SMALL((IF(C$42:C$73&lt;&gt;"",ROW(C$42:C$73),ROW()+ROWS(C$42:C$73))),ROW()-ROW(C$77:C$109)+1),COLUMN(C$42:C$73),4)))</f>
        <v>Улавливатель нижний</v>
      </c>
      <c r="D79" s="235" t="str">
        <f t="array" aca="1" ref="D79" ca="1">IF(ROW()-ROW(D$77:D$109)+1&gt;ROWS(D$42:D$73)-COUNTBLANK(D$42:D$73),"",INDIRECT(ADDRESS(SMALL((IF(D$42:D$73&lt;&gt;"",ROW(D$42:D$73),ROW()+ROWS(D$42:D$73))),ROW()-ROW(D$77:D$109)+1),COLUMN(D$42:D$73),4)))</f>
        <v>SGN.02.420</v>
      </c>
      <c r="E79" s="234"/>
      <c r="F79" s="234">
        <f t="array" aca="1" ref="F79" ca="1">IF(ROW()-ROW(F$77:F$109)+1&gt;ROWS(F$42:F$73)-COUNTBLANK(F$42:F$73),"",INDIRECT(ADDRESS(SMALL((IF(F$42:F$73&lt;&gt;"",ROW(F$42:F$73),ROW()+ROWS(F$42:F$73))),ROW()-ROW(F$77:F$109)+1),COLUMN(F$42:F$73),4)))</f>
        <v>1</v>
      </c>
      <c r="G79" s="235">
        <f t="array" aca="1" ref="G79" ca="1">IF(ROW()-ROW(G$77:G$109)+1&gt;ROWS(G$42:G$73)-COUNTBLANK(G$42:G$73),"",INDIRECT(ADDRESS(SMALL((IF(G$42:G$73&lt;&gt;"",ROW(G$42:G$73),ROW()+ROWS(G$42:G$73))),ROW()-ROW(G$77:G$109)+1),COLUMN(G$42:G$73),4)))</f>
        <v>278.25</v>
      </c>
      <c r="H79" s="234">
        <f t="array" aca="1" ref="H79" ca="1">IF(ROW()-ROW(H$77:H$109)+1&gt;ROWS(H$42:H$73)-COUNTBLANK(H$42:H$73),"",INDIRECT(ADDRESS(SMALL((IF(H$42:H$73&lt;&gt;"",ROW(H$42:H$73),ROW()+ROWS(H$42:H$73))),ROW()-ROW(H$77:H$109)+1),COLUMN(H$42:H$73),4)))</f>
        <v>278.25</v>
      </c>
      <c r="I79" s="229"/>
      <c r="J79" s="229"/>
      <c r="K79" s="229"/>
      <c r="L79" s="229"/>
    </row>
    <row r="80" spans="1:15" x14ac:dyDescent="0.2">
      <c r="A80" s="229"/>
      <c r="B80" s="233">
        <f t="array" aca="1" ref="B80" ca="1">IF(ROW()-ROW(B$77:B$109)+1&gt;ROWS(B$42:B$73)-COUNTBLANK(B$42:B$73),"",INDIRECT(ADDRESS(SMALL((IF(B$42:B$73&lt;&gt;"",ROW(B$42:B$73),ROW()+ROWS(B$42:B$73))),ROW()-ROW(B$77:B$109)+1),COLUMN(B$42:B$73),4)))</f>
        <v>415002000</v>
      </c>
      <c r="C80" s="234" t="str">
        <f t="array" aca="1" ref="C80" ca="1">IF(ROW()-ROW(C$77:C$109)+1&gt;ROWS(C$42:C$73)-COUNTBLANK(C$42:C$73),"",INDIRECT(ADDRESS(SMALL((IF(C$42:C$73&lt;&gt;"",ROW(C$42:C$73),ROW()+ROWS(C$42:C$73))),ROW()-ROW(C$77:C$109)+1),COLUMN(C$42:C$73),4)))</f>
        <v>Упор</v>
      </c>
      <c r="D80" s="235" t="str">
        <f t="array" aca="1" ref="D80" ca="1">IF(ROW()-ROW(D$77:D$109)+1&gt;ROWS(D$42:D$73)-COUNTBLANK(D$42:D$73),"",INDIRECT(ADDRESS(SMALL((IF(D$42:D$73&lt;&gt;"",ROW(D$42:D$73),ROW()+ROWS(D$42:D$73))),ROW()-ROW(D$77:D$109)+1),COLUMN(D$42:D$73),4)))</f>
        <v>SGN.02.510</v>
      </c>
      <c r="E80" s="234"/>
      <c r="F80" s="234">
        <f t="array" aca="1" ref="F80" ca="1">IF(ROW()-ROW(F$77:F$109)+1&gt;ROWS(F$42:F$73)-COUNTBLANK(F$42:F$73),"",INDIRECT(ADDRESS(SMALL((IF(F$42:F$73&lt;&gt;"",ROW(F$42:F$73),ROW()+ROWS(F$42:F$73))),ROW()-ROW(F$77:F$109)+1),COLUMN(F$42:F$73),4)))</f>
        <v>1</v>
      </c>
      <c r="G80" s="235">
        <f t="array" aca="1" ref="G80" ca="1">IF(ROW()-ROW(G$77:G$109)+1&gt;ROWS(G$42:G$73)-COUNTBLANK(G$42:G$73),"",INDIRECT(ADDRESS(SMALL((IF(G$42:G$73&lt;&gt;"",ROW(G$42:G$73),ROW()+ROWS(G$42:G$73))),ROW()-ROW(G$77:G$109)+1),COLUMN(G$42:G$73),4)))</f>
        <v>67.5</v>
      </c>
      <c r="H80" s="234">
        <f t="array" aca="1" ref="H80" ca="1">IF(ROW()-ROW(H$77:H$109)+1&gt;ROWS(H$42:H$73)-COUNTBLANK(H$42:H$73),"",INDIRECT(ADDRESS(SMALL((IF(H$42:H$73&lt;&gt;"",ROW(H$42:H$73),ROW()+ROWS(H$42:H$73))),ROW()-ROW(H$77:H$109)+1),COLUMN(H$42:H$73),4)))</f>
        <v>67.5</v>
      </c>
      <c r="I80" s="229"/>
      <c r="L80" s="229"/>
    </row>
    <row r="81" spans="1:12" x14ac:dyDescent="0.2">
      <c r="A81" s="229"/>
      <c r="B81" s="233">
        <f t="array" aca="1" ref="B81" ca="1">IF(ROW()-ROW(B$77:B$109)+1&gt;ROWS(B$42:B$73)-COUNTBLANK(B$42:B$73),"",INDIRECT(ADDRESS(SMALL((IF(B$42:B$73&lt;&gt;"",ROW(B$42:B$73),ROW()+ROWS(B$42:B$73))),ROW()-ROW(B$77:B$109)+1),COLUMN(B$42:B$73),4)))</f>
        <v>415002100</v>
      </c>
      <c r="C81" s="234" t="str">
        <f t="array" aca="1" ref="C81" ca="1">IF(ROW()-ROW(C$77:C$109)+1&gt;ROWS(C$42:C$73)-COUNTBLANK(C$42:C$73),"",INDIRECT(ADDRESS(SMALL((IF(C$42:C$73&lt;&gt;"",ROW(C$42:C$73),ROW()+ROWS(C$42:C$73))),ROW()-ROW(C$77:C$109)+1),COLUMN(C$42:C$73),4)))</f>
        <v>Крышка</v>
      </c>
      <c r="D81" s="235" t="str">
        <f t="array" aca="1" ref="D81" ca="1">IF(ROW()-ROW(D$77:D$109)+1&gt;ROWS(D$42:D$73)-COUNTBLANK(D$42:D$73),"",INDIRECT(ADDRESS(SMALL((IF(D$42:D$73&lt;&gt;"",ROW(D$42:D$73),ROW()+ROWS(D$42:D$73))),ROW()-ROW(D$77:D$109)+1),COLUMN(D$42:D$73),4)))</f>
        <v>SGN.02.600</v>
      </c>
      <c r="E81" s="234"/>
      <c r="F81" s="234">
        <f t="array" aca="1" ref="F81" ca="1">IF(ROW()-ROW(F$77:F$109)+1&gt;ROWS(F$42:F$73)-COUNTBLANK(F$42:F$73),"",INDIRECT(ADDRESS(SMALL((IF(F$42:F$73&lt;&gt;"",ROW(F$42:F$73),ROW()+ROWS(F$42:F$73))),ROW()-ROW(F$77:F$109)+1),COLUMN(F$42:F$73),4)))</f>
        <v>1</v>
      </c>
      <c r="G81" s="235">
        <f t="array" aca="1" ref="G81" ca="1">IF(ROW()-ROW(G$77:G$109)+1&gt;ROWS(G$42:G$73)-COUNTBLANK(G$42:G$73),"",INDIRECT(ADDRESS(SMALL((IF(G$42:G$73&lt;&gt;"",ROW(G$42:G$73),ROW()+ROWS(G$42:G$73))),ROW()-ROW(G$77:G$109)+1),COLUMN(G$42:G$73),4)))</f>
        <v>92.25</v>
      </c>
      <c r="H81" s="234">
        <f t="array" aca="1" ref="H81" ca="1">IF(ROW()-ROW(H$77:H$109)+1&gt;ROWS(H$42:H$73)-COUNTBLANK(H$42:H$73),"",INDIRECT(ADDRESS(SMALL((IF(H$42:H$73&lt;&gt;"",ROW(H$42:H$73),ROW()+ROWS(H$42:H$73))),ROW()-ROW(H$77:H$109)+1),COLUMN(H$42:H$73),4)))</f>
        <v>92.25</v>
      </c>
      <c r="I81" s="229"/>
      <c r="L81" s="229"/>
    </row>
    <row r="82" spans="1:12" x14ac:dyDescent="0.2">
      <c r="A82" s="229"/>
      <c r="B82" s="233" t="str">
        <f t="array" aca="1" ref="B82" ca="1">IF(ROW()-ROW(B$77:B$109)+1&gt;ROWS(B$42:B$73)-COUNTBLANK(B$42:B$73),"",INDIRECT(ADDRESS(SMALL((IF(B$42:B$73&lt;&gt;"",ROW(B$42:B$73),ROW()+ROWS(B$42:B$73))),ROW()-ROW(B$77:B$109)+1),COLUMN(B$42:B$73),4)))</f>
        <v>-</v>
      </c>
      <c r="C82" s="234" t="str">
        <f t="array" aca="1" ref="C82" ca="1">IF(ROW()-ROW(C$77:C$109)+1&gt;ROWS(C$42:C$73)-COUNTBLANK(C$42:C$73),"",INDIRECT(ADDRESS(SMALL((IF(C$42:C$73&lt;&gt;"",ROW(C$42:C$73),ROW()+ROWS(C$42:C$73))),ROW()-ROW(C$77:C$109)+1),COLUMN(C$42:C$73),4)))</f>
        <v>-</v>
      </c>
      <c r="D82" s="235" t="str">
        <f t="array" aca="1" ref="D82" ca="1">IF(ROW()-ROW(D$77:D$109)+1&gt;ROWS(D$42:D$73)-COUNTBLANK(D$42:D$73),"",INDIRECT(ADDRESS(SMALL((IF(D$42:D$73&lt;&gt;"",ROW(D$42:D$73),ROW()+ROWS(D$42:D$73))),ROW()-ROW(D$77:D$109)+1),COLUMN(D$42:D$73),4)))</f>
        <v>-</v>
      </c>
      <c r="E82" s="234"/>
      <c r="F82" s="234" t="str">
        <f t="array" aca="1" ref="F82" ca="1">IF(ROW()-ROW(F$77:F$109)+1&gt;ROWS(F$42:F$73)-COUNTBLANK(F$42:F$73),"",INDIRECT(ADDRESS(SMALL((IF(F$42:F$73&lt;&gt;"",ROW(F$42:F$73),ROW()+ROWS(F$42:F$73))),ROW()-ROW(F$77:F$109)+1),COLUMN(F$42:F$73),4)))</f>
        <v>-</v>
      </c>
      <c r="G82" s="235" t="str">
        <f t="array" aca="1" ref="G82" ca="1">IF(ROW()-ROW(G$77:G$109)+1&gt;ROWS(G$42:G$73)-COUNTBLANK(G$42:G$73),"",INDIRECT(ADDRESS(SMALL((IF(G$42:G$73&lt;&gt;"",ROW(G$42:G$73),ROW()+ROWS(G$42:G$73))),ROW()-ROW(G$77:G$109)+1),COLUMN(G$42:G$73),4)))</f>
        <v>-</v>
      </c>
      <c r="H82" s="234" t="str">
        <f t="array" aca="1" ref="H82" ca="1">IF(ROW()-ROW(H$77:H$109)+1&gt;ROWS(H$42:H$73)-COUNTBLANK(H$42:H$73),"",INDIRECT(ADDRESS(SMALL((IF(H$42:H$73&lt;&gt;"",ROW(H$42:H$73),ROW()+ROWS(H$42:H$73))),ROW()-ROW(H$77:H$109)+1),COLUMN(H$42:H$73),4)))</f>
        <v>-</v>
      </c>
      <c r="I82" s="229"/>
      <c r="L82" s="229"/>
    </row>
    <row r="83" spans="1:12" x14ac:dyDescent="0.2">
      <c r="A83" s="229"/>
      <c r="B83" s="233" t="str">
        <f t="array" aca="1" ref="B83" ca="1">IF(ROW()-ROW(B$77:B$109)+1&gt;ROWS(B$42:B$73)-COUNTBLANK(B$42:B$73),"",INDIRECT(ADDRESS(SMALL((IF(B$42:B$73&lt;&gt;"",ROW(B$42:B$73),ROW()+ROWS(B$42:B$73))),ROW()-ROW(B$77:B$109)+1),COLUMN(B$42:B$73),4)))</f>
        <v/>
      </c>
      <c r="C83" s="234" t="str">
        <f t="array" aca="1" ref="C83" ca="1">IF(ROW()-ROW(C$77:C$109)+1&gt;ROWS(C$42:C$73)-COUNTBLANK(C$42:C$73),"",INDIRECT(ADDRESS(SMALL((IF(C$42:C$73&lt;&gt;"",ROW(C$42:C$73),ROW()+ROWS(C$42:C$73))),ROW()-ROW(C$77:C$109)+1),COLUMN(C$42:C$73),4)))</f>
        <v/>
      </c>
      <c r="D83" s="235" t="str">
        <f t="array" aca="1" ref="D83" ca="1">IF(ROW()-ROW(D$77:D$109)+1&gt;ROWS(D$42:D$73)-COUNTBLANK(D$42:D$73),"",INDIRECT(ADDRESS(SMALL((IF(D$42:D$73&lt;&gt;"",ROW(D$42:D$73),ROW()+ROWS(D$42:D$73))),ROW()-ROW(D$77:D$109)+1),COLUMN(D$42:D$73),4)))</f>
        <v/>
      </c>
      <c r="E83" s="234"/>
      <c r="F83" s="234" t="str">
        <f t="array" aca="1" ref="F83" ca="1">IF(ROW()-ROW(F$77:F$109)+1&gt;ROWS(F$42:F$73)-COUNTBLANK(F$42:F$73),"",INDIRECT(ADDRESS(SMALL((IF(F$42:F$73&lt;&gt;"",ROW(F$42:F$73),ROW()+ROWS(F$42:F$73))),ROW()-ROW(F$77:F$109)+1),COLUMN(F$42:F$73),4)))</f>
        <v/>
      </c>
      <c r="G83" s="235" t="str">
        <f t="array" aca="1" ref="G83" ca="1">IF(ROW()-ROW(G$77:G$109)+1&gt;ROWS(G$42:G$73)-COUNTBLANK(G$42:G$73),"",INDIRECT(ADDRESS(SMALL((IF(G$42:G$73&lt;&gt;"",ROW(G$42:G$73),ROW()+ROWS(G$42:G$73))),ROW()-ROW(G$77:G$109)+1),COLUMN(G$42:G$73),4)))</f>
        <v/>
      </c>
      <c r="H83" s="234" t="str">
        <f t="array" aca="1" ref="H83" ca="1">IF(ROW()-ROW(H$77:H$109)+1&gt;ROWS(H$42:H$73)-COUNTBLANK(H$42:H$73),"",INDIRECT(ADDRESS(SMALL((IF(H$42:H$73&lt;&gt;"",ROW(H$42:H$73),ROW()+ROWS(H$42:H$73))),ROW()-ROW(H$77:H$109)+1),COLUMN(H$42:H$73),4)))</f>
        <v/>
      </c>
      <c r="I83" s="229"/>
      <c r="J83" s="229"/>
      <c r="K83" s="229"/>
      <c r="L83" s="229"/>
    </row>
    <row r="84" spans="1:12" x14ac:dyDescent="0.2">
      <c r="A84" s="229"/>
      <c r="B84" s="233" t="str">
        <f t="array" aca="1" ref="B84" ca="1">IF(ROW()-ROW(B$77:B$109)+1&gt;ROWS(B$42:B$73)-COUNTBLANK(B$42:B$73),"",INDIRECT(ADDRESS(SMALL((IF(B$42:B$73&lt;&gt;"",ROW(B$42:B$73),ROW()+ROWS(B$42:B$73))),ROW()-ROW(B$77:B$109)+1),COLUMN(B$42:B$73),4)))</f>
        <v/>
      </c>
      <c r="C84" s="234" t="str">
        <f t="array" aca="1" ref="C84" ca="1">IF(ROW()-ROW(C$77:C$109)+1&gt;ROWS(C$42:C$73)-COUNTBLANK(C$42:C$73),"",INDIRECT(ADDRESS(SMALL((IF(C$42:C$73&lt;&gt;"",ROW(C$42:C$73),ROW()+ROWS(C$42:C$73))),ROW()-ROW(C$77:C$109)+1),COLUMN(C$42:C$73),4)))</f>
        <v/>
      </c>
      <c r="D84" s="235" t="str">
        <f t="array" aca="1" ref="D84" ca="1">IF(ROW()-ROW(D$77:D$109)+1&gt;ROWS(D$42:D$73)-COUNTBLANK(D$42:D$73),"",INDIRECT(ADDRESS(SMALL((IF(D$42:D$73&lt;&gt;"",ROW(D$42:D$73),ROW()+ROWS(D$42:D$73))),ROW()-ROW(D$77:D$109)+1),COLUMN(D$42:D$73),4)))</f>
        <v/>
      </c>
      <c r="E84" s="234"/>
      <c r="F84" s="234" t="str">
        <f t="array" aca="1" ref="F84" ca="1">IF(ROW()-ROW(F$77:F$109)+1&gt;ROWS(F$42:F$73)-COUNTBLANK(F$42:F$73),"",INDIRECT(ADDRESS(SMALL((IF(F$42:F$73&lt;&gt;"",ROW(F$42:F$73),ROW()+ROWS(F$42:F$73))),ROW()-ROW(F$77:F$109)+1),COLUMN(F$42:F$73),4)))</f>
        <v/>
      </c>
      <c r="G84" s="235" t="str">
        <f t="array" aca="1" ref="G84" ca="1">IF(ROW()-ROW(G$77:G$109)+1&gt;ROWS(G$42:G$73)-COUNTBLANK(G$42:G$73),"",INDIRECT(ADDRESS(SMALL((IF(G$42:G$73&lt;&gt;"",ROW(G$42:G$73),ROW()+ROWS(G$42:G$73))),ROW()-ROW(G$77:G$109)+1),COLUMN(G$42:G$73),4)))</f>
        <v/>
      </c>
      <c r="H84" s="234" t="str">
        <f t="array" aca="1" ref="H84" ca="1">IF(ROW()-ROW(H$77:H$109)+1&gt;ROWS(H$42:H$73)-COUNTBLANK(H$42:H$73),"",INDIRECT(ADDRESS(SMALL((IF(H$42:H$73&lt;&gt;"",ROW(H$42:H$73),ROW()+ROWS(H$42:H$73))),ROW()-ROW(H$77:H$109)+1),COLUMN(H$42:H$73),4)))</f>
        <v/>
      </c>
      <c r="I84" s="229"/>
      <c r="J84" s="229"/>
      <c r="K84" s="229"/>
      <c r="L84" s="229"/>
    </row>
    <row r="85" spans="1:12" x14ac:dyDescent="0.2">
      <c r="A85" s="229"/>
      <c r="B85" s="233" t="str">
        <f t="array" aca="1" ref="B85" ca="1">IF(ROW()-ROW(B$77:B$109)+1&gt;ROWS(B$42:B$73)-COUNTBLANK(B$42:B$73),"",INDIRECT(ADDRESS(SMALL((IF(B$42:B$73&lt;&gt;"",ROW(B$42:B$73),ROW()+ROWS(B$42:B$73))),ROW()-ROW(B$77:B$109)+1),COLUMN(B$42:B$73),4)))</f>
        <v/>
      </c>
      <c r="C85" s="234" t="str">
        <f t="array" aca="1" ref="C85" ca="1">IF(ROW()-ROW(C$77:C$109)+1&gt;ROWS(C$42:C$73)-COUNTBLANK(C$42:C$73),"",INDIRECT(ADDRESS(SMALL((IF(C$42:C$73&lt;&gt;"",ROW(C$42:C$73),ROW()+ROWS(C$42:C$73))),ROW()-ROW(C$77:C$109)+1),COLUMN(C$42:C$73),4)))</f>
        <v/>
      </c>
      <c r="D85" s="235" t="str">
        <f t="array" aca="1" ref="D85" ca="1">IF(ROW()-ROW(D$77:D$109)+1&gt;ROWS(D$42:D$73)-COUNTBLANK(D$42:D$73),"",INDIRECT(ADDRESS(SMALL((IF(D$42:D$73&lt;&gt;"",ROW(D$42:D$73),ROW()+ROWS(D$42:D$73))),ROW()-ROW(D$77:D$109)+1),COLUMN(D$42:D$73),4)))</f>
        <v/>
      </c>
      <c r="E85" s="234"/>
      <c r="F85" s="234" t="str">
        <f t="array" aca="1" ref="F85" ca="1">IF(ROW()-ROW(F$77:F$109)+1&gt;ROWS(F$42:F$73)-COUNTBLANK(F$42:F$73),"",INDIRECT(ADDRESS(SMALL((IF(F$42:F$73&lt;&gt;"",ROW(F$42:F$73),ROW()+ROWS(F$42:F$73))),ROW()-ROW(F$77:F$109)+1),COLUMN(F$42:F$73),4)))</f>
        <v/>
      </c>
      <c r="G85" s="235" t="str">
        <f t="array" aca="1" ref="G85" ca="1">IF(ROW()-ROW(G$77:G$109)+1&gt;ROWS(G$42:G$73)-COUNTBLANK(G$42:G$73),"",INDIRECT(ADDRESS(SMALL((IF(G$42:G$73&lt;&gt;"",ROW(G$42:G$73),ROW()+ROWS(G$42:G$73))),ROW()-ROW(G$77:G$109)+1),COLUMN(G$42:G$73),4)))</f>
        <v/>
      </c>
      <c r="H85" s="234" t="str">
        <f t="array" aca="1" ref="H85" ca="1">IF(ROW()-ROW(H$77:H$109)+1&gt;ROWS(H$42:H$73)-COUNTBLANK(H$42:H$73),"",INDIRECT(ADDRESS(SMALL((IF(H$42:H$73&lt;&gt;"",ROW(H$42:H$73),ROW()+ROWS(H$42:H$73))),ROW()-ROW(H$77:H$109)+1),COLUMN(H$42:H$73),4)))</f>
        <v/>
      </c>
      <c r="I85" s="229"/>
      <c r="J85" s="229"/>
      <c r="K85" s="229"/>
      <c r="L85" s="229"/>
    </row>
    <row r="86" spans="1:12" x14ac:dyDescent="0.2">
      <c r="A86" s="229"/>
      <c r="B86" s="233" t="str">
        <f t="array" aca="1" ref="B86" ca="1">IF(ROW()-ROW(B$77:B$109)+1&gt;ROWS(B$42:B$73)-COUNTBLANK(B$42:B$73),"",INDIRECT(ADDRESS(SMALL((IF(B$42:B$73&lt;&gt;"",ROW(B$42:B$73),ROW()+ROWS(B$42:B$73))),ROW()-ROW(B$77:B$109)+1),COLUMN(B$42:B$73),4)))</f>
        <v/>
      </c>
      <c r="C86" s="234" t="str">
        <f t="array" aca="1" ref="C86" ca="1">IF(ROW()-ROW(C$77:C$109)+1&gt;ROWS(C$42:C$73)-COUNTBLANK(C$42:C$73),"",INDIRECT(ADDRESS(SMALL((IF(C$42:C$73&lt;&gt;"",ROW(C$42:C$73),ROW()+ROWS(C$42:C$73))),ROW()-ROW(C$77:C$109)+1),COLUMN(C$42:C$73),4)))</f>
        <v/>
      </c>
      <c r="D86" s="235" t="str">
        <f t="array" aca="1" ref="D86" ca="1">IF(ROW()-ROW(D$77:D$109)+1&gt;ROWS(D$42:D$73)-COUNTBLANK(D$42:D$73),"",INDIRECT(ADDRESS(SMALL((IF(D$42:D$73&lt;&gt;"",ROW(D$42:D$73),ROW()+ROWS(D$42:D$73))),ROW()-ROW(D$77:D$109)+1),COLUMN(D$42:D$73),4)))</f>
        <v/>
      </c>
      <c r="E86" s="234"/>
      <c r="F86" s="234" t="str">
        <f t="array" aca="1" ref="F86" ca="1">IF(ROW()-ROW(F$77:F$109)+1&gt;ROWS(F$42:F$73)-COUNTBLANK(F$42:F$73),"",INDIRECT(ADDRESS(SMALL((IF(F$42:F$73&lt;&gt;"",ROW(F$42:F$73),ROW()+ROWS(F$42:F$73))),ROW()-ROW(F$77:F$109)+1),COLUMN(F$42:F$73),4)))</f>
        <v/>
      </c>
      <c r="G86" s="235" t="str">
        <f t="array" aca="1" ref="G86" ca="1">IF(ROW()-ROW(G$77:G$109)+1&gt;ROWS(G$42:G$73)-COUNTBLANK(G$42:G$73),"",INDIRECT(ADDRESS(SMALL((IF(G$42:G$73&lt;&gt;"",ROW(G$42:G$73),ROW()+ROWS(G$42:G$73))),ROW()-ROW(G$77:G$109)+1),COLUMN(G$42:G$73),4)))</f>
        <v/>
      </c>
      <c r="H86" s="234" t="str">
        <f t="array" aca="1" ref="H86" ca="1">IF(ROW()-ROW(H$77:H$109)+1&gt;ROWS(H$42:H$73)-COUNTBLANK(H$42:H$73),"",INDIRECT(ADDRESS(SMALL((IF(H$42:H$73&lt;&gt;"",ROW(H$42:H$73),ROW()+ROWS(H$42:H$73))),ROW()-ROW(H$77:H$109)+1),COLUMN(H$42:H$73),4)))</f>
        <v/>
      </c>
      <c r="I86" s="229"/>
      <c r="J86" s="229"/>
      <c r="K86" s="229"/>
      <c r="L86" s="229"/>
    </row>
    <row r="87" spans="1:12" x14ac:dyDescent="0.2">
      <c r="A87" s="229"/>
      <c r="B87" s="233" t="str">
        <f t="array" aca="1" ref="B87" ca="1">IF(ROW()-ROW(B$77:B$109)+1&gt;ROWS(B$42:B$73)-COUNTBLANK(B$42:B$73),"",INDIRECT(ADDRESS(SMALL((IF(B$42:B$73&lt;&gt;"",ROW(B$42:B$73),ROW()+ROWS(B$42:B$73))),ROW()-ROW(B$77:B$109)+1),COLUMN(B$42:B$73),4)))</f>
        <v/>
      </c>
      <c r="C87" s="234" t="str">
        <f t="array" aca="1" ref="C87" ca="1">IF(ROW()-ROW(C$77:C$109)+1&gt;ROWS(C$42:C$73)-COUNTBLANK(C$42:C$73),"",INDIRECT(ADDRESS(SMALL((IF(C$42:C$73&lt;&gt;"",ROW(C$42:C$73),ROW()+ROWS(C$42:C$73))),ROW()-ROW(C$77:C$109)+1),COLUMN(C$42:C$73),4)))</f>
        <v/>
      </c>
      <c r="D87" s="235" t="str">
        <f t="array" aca="1" ref="D87" ca="1">IF(ROW()-ROW(D$77:D$109)+1&gt;ROWS(D$42:D$73)-COUNTBLANK(D$42:D$73),"",INDIRECT(ADDRESS(SMALL((IF(D$42:D$73&lt;&gt;"",ROW(D$42:D$73),ROW()+ROWS(D$42:D$73))),ROW()-ROW(D$77:D$109)+1),COLUMN(D$42:D$73),4)))</f>
        <v/>
      </c>
      <c r="E87" s="234"/>
      <c r="F87" s="234" t="str">
        <f t="array" aca="1" ref="F87" ca="1">IF(ROW()-ROW(F$77:F$109)+1&gt;ROWS(F$42:F$73)-COUNTBLANK(F$42:F$73),"",INDIRECT(ADDRESS(SMALL((IF(F$42:F$73&lt;&gt;"",ROW(F$42:F$73),ROW()+ROWS(F$42:F$73))),ROW()-ROW(F$77:F$109)+1),COLUMN(F$42:F$73),4)))</f>
        <v/>
      </c>
      <c r="G87" s="235" t="str">
        <f t="array" aca="1" ref="G87" ca="1">IF(ROW()-ROW(G$77:G$109)+1&gt;ROWS(G$42:G$73)-COUNTBLANK(G$42:G$73),"",INDIRECT(ADDRESS(SMALL((IF(G$42:G$73&lt;&gt;"",ROW(G$42:G$73),ROW()+ROWS(G$42:G$73))),ROW()-ROW(G$77:G$109)+1),COLUMN(G$42:G$73),4)))</f>
        <v/>
      </c>
      <c r="H87" s="234" t="str">
        <f t="array" aca="1" ref="H87" ca="1">IF(ROW()-ROW(H$77:H$109)+1&gt;ROWS(H$42:H$73)-COUNTBLANK(H$42:H$73),"",INDIRECT(ADDRESS(SMALL((IF(H$42:H$73&lt;&gt;"",ROW(H$42:H$73),ROW()+ROWS(H$42:H$73))),ROW()-ROW(H$77:H$109)+1),COLUMN(H$42:H$73),4)))</f>
        <v/>
      </c>
      <c r="I87" s="229"/>
      <c r="J87" s="229"/>
      <c r="K87" s="229"/>
      <c r="L87" s="229"/>
    </row>
    <row r="88" spans="1:12" x14ac:dyDescent="0.2">
      <c r="A88" s="229"/>
      <c r="B88" s="233" t="str">
        <f t="array" aca="1" ref="B88" ca="1">IF(ROW()-ROW(B$77:B$109)+1&gt;ROWS(B$42:B$73)-COUNTBLANK(B$42:B$73),"",INDIRECT(ADDRESS(SMALL((IF(B$42:B$73&lt;&gt;"",ROW(B$42:B$73),ROW()+ROWS(B$42:B$73))),ROW()-ROW(B$77:B$109)+1),COLUMN(B$42:B$73),4)))</f>
        <v/>
      </c>
      <c r="C88" s="234" t="str">
        <f t="array" aca="1" ref="C88" ca="1">IF(ROW()-ROW(C$77:C$109)+1&gt;ROWS(C$42:C$73)-COUNTBLANK(C$42:C$73),"",INDIRECT(ADDRESS(SMALL((IF(C$42:C$73&lt;&gt;"",ROW(C$42:C$73),ROW()+ROWS(C$42:C$73))),ROW()-ROW(C$77:C$109)+1),COLUMN(C$42:C$73),4)))</f>
        <v/>
      </c>
      <c r="D88" s="235" t="str">
        <f t="array" aca="1" ref="D88" ca="1">IF(ROW()-ROW(D$77:D$109)+1&gt;ROWS(D$42:D$73)-COUNTBLANK(D$42:D$73),"",INDIRECT(ADDRESS(SMALL((IF(D$42:D$73&lt;&gt;"",ROW(D$42:D$73),ROW()+ROWS(D$42:D$73))),ROW()-ROW(D$77:D$109)+1),COLUMN(D$42:D$73),4)))</f>
        <v/>
      </c>
      <c r="E88" s="234"/>
      <c r="F88" s="234" t="str">
        <f t="array" aca="1" ref="F88" ca="1">IF(ROW()-ROW(F$77:F$109)+1&gt;ROWS(F$42:F$73)-COUNTBLANK(F$42:F$73),"",INDIRECT(ADDRESS(SMALL((IF(F$42:F$73&lt;&gt;"",ROW(F$42:F$73),ROW()+ROWS(F$42:F$73))),ROW()-ROW(F$77:F$109)+1),COLUMN(F$42:F$73),4)))</f>
        <v/>
      </c>
      <c r="G88" s="235" t="str">
        <f t="array" aca="1" ref="G88" ca="1">IF(ROW()-ROW(G$77:G$109)+1&gt;ROWS(G$42:G$73)-COUNTBLANK(G$42:G$73),"",INDIRECT(ADDRESS(SMALL((IF(G$42:G$73&lt;&gt;"",ROW(G$42:G$73),ROW()+ROWS(G$42:G$73))),ROW()-ROW(G$77:G$109)+1),COLUMN(G$42:G$73),4)))</f>
        <v/>
      </c>
      <c r="H88" s="234" t="str">
        <f t="array" aca="1" ref="H88" ca="1">IF(ROW()-ROW(H$77:H$109)+1&gt;ROWS(H$42:H$73)-COUNTBLANK(H$42:H$73),"",INDIRECT(ADDRESS(SMALL((IF(H$42:H$73&lt;&gt;"",ROW(H$42:H$73),ROW()+ROWS(H$42:H$73))),ROW()-ROW(H$77:H$109)+1),COLUMN(H$42:H$73),4)))</f>
        <v/>
      </c>
      <c r="I88" s="229"/>
      <c r="J88" s="229"/>
      <c r="K88" s="229"/>
      <c r="L88" s="229"/>
    </row>
    <row r="89" spans="1:12" x14ac:dyDescent="0.2">
      <c r="A89" s="229"/>
      <c r="B89" s="233" t="str">
        <f t="array" aca="1" ref="B89" ca="1">IF(ROW()-ROW(B$77:B$109)+1&gt;ROWS(B$42:B$73)-COUNTBLANK(B$42:B$73),"",INDIRECT(ADDRESS(SMALL((IF(B$42:B$73&lt;&gt;"",ROW(B$42:B$73),ROW()+ROWS(B$42:B$73))),ROW()-ROW(B$77:B$109)+1),COLUMN(B$42:B$73),4)))</f>
        <v/>
      </c>
      <c r="C89" s="234" t="str">
        <f t="array" aca="1" ref="C89" ca="1">IF(ROW()-ROW(C$77:C$109)+1&gt;ROWS(C$42:C$73)-COUNTBLANK(C$42:C$73),"",INDIRECT(ADDRESS(SMALL((IF(C$42:C$73&lt;&gt;"",ROW(C$42:C$73),ROW()+ROWS(C$42:C$73))),ROW()-ROW(C$77:C$109)+1),COLUMN(C$42:C$73),4)))</f>
        <v/>
      </c>
      <c r="D89" s="235" t="str">
        <f t="array" aca="1" ref="D89" ca="1">IF(ROW()-ROW(D$77:D$109)+1&gt;ROWS(D$42:D$73)-COUNTBLANK(D$42:D$73),"",INDIRECT(ADDRESS(SMALL((IF(D$42:D$73&lt;&gt;"",ROW(D$42:D$73),ROW()+ROWS(D$42:D$73))),ROW()-ROW(D$77:D$109)+1),COLUMN(D$42:D$73),4)))</f>
        <v/>
      </c>
      <c r="E89" s="234"/>
      <c r="F89" s="234" t="str">
        <f t="array" aca="1" ref="F89" ca="1">IF(ROW()-ROW(F$77:F$109)+1&gt;ROWS(F$42:F$73)-COUNTBLANK(F$42:F$73),"",INDIRECT(ADDRESS(SMALL((IF(F$42:F$73&lt;&gt;"",ROW(F$42:F$73),ROW()+ROWS(F$42:F$73))),ROW()-ROW(F$77:F$109)+1),COLUMN(F$42:F$73),4)))</f>
        <v/>
      </c>
      <c r="G89" s="235" t="str">
        <f t="array" aca="1" ref="G89" ca="1">IF(ROW()-ROW(G$77:G$109)+1&gt;ROWS(G$42:G$73)-COUNTBLANK(G$42:G$73),"",INDIRECT(ADDRESS(SMALL((IF(G$42:G$73&lt;&gt;"",ROW(G$42:G$73),ROW()+ROWS(G$42:G$73))),ROW()-ROW(G$77:G$109)+1),COLUMN(G$42:G$73),4)))</f>
        <v/>
      </c>
      <c r="H89" s="234" t="str">
        <f t="array" aca="1" ref="H89" ca="1">IF(ROW()-ROW(H$77:H$109)+1&gt;ROWS(H$42:H$73)-COUNTBLANK(H$42:H$73),"",INDIRECT(ADDRESS(SMALL((IF(H$42:H$73&lt;&gt;"",ROW(H$42:H$73),ROW()+ROWS(H$42:H$73))),ROW()-ROW(H$77:H$109)+1),COLUMN(H$42:H$73),4)))</f>
        <v/>
      </c>
      <c r="I89" s="229"/>
      <c r="J89" s="229"/>
      <c r="K89" s="229"/>
      <c r="L89" s="229"/>
    </row>
    <row r="90" spans="1:12" x14ac:dyDescent="0.2">
      <c r="A90" s="229"/>
      <c r="B90" s="233" t="str">
        <f t="array" aca="1" ref="B90" ca="1">IF(ROW()-ROW(B$77:B$109)+1&gt;ROWS(B$42:B$73)-COUNTBLANK(B$42:B$73),"",INDIRECT(ADDRESS(SMALL((IF(B$42:B$73&lt;&gt;"",ROW(B$42:B$73),ROW()+ROWS(B$42:B$73))),ROW()-ROW(B$77:B$109)+1),COLUMN(B$42:B$73),4)))</f>
        <v/>
      </c>
      <c r="C90" s="234" t="str">
        <f t="array" aca="1" ref="C90" ca="1">IF(ROW()-ROW(C$77:C$109)+1&gt;ROWS(C$42:C$73)-COUNTBLANK(C$42:C$73),"",INDIRECT(ADDRESS(SMALL((IF(C$42:C$73&lt;&gt;"",ROW(C$42:C$73),ROW()+ROWS(C$42:C$73))),ROW()-ROW(C$77:C$109)+1),COLUMN(C$42:C$73),4)))</f>
        <v/>
      </c>
      <c r="D90" s="235" t="str">
        <f t="array" aca="1" ref="D90" ca="1">IF(ROW()-ROW(D$77:D$109)+1&gt;ROWS(D$42:D$73)-COUNTBLANK(D$42:D$73),"",INDIRECT(ADDRESS(SMALL((IF(D$42:D$73&lt;&gt;"",ROW(D$42:D$73),ROW()+ROWS(D$42:D$73))),ROW()-ROW(D$77:D$109)+1),COLUMN(D$42:D$73),4)))</f>
        <v/>
      </c>
      <c r="E90" s="234"/>
      <c r="F90" s="234" t="str">
        <f t="array" aca="1" ref="F90" ca="1">IF(ROW()-ROW(F$77:F$109)+1&gt;ROWS(F$42:F$73)-COUNTBLANK(F$42:F$73),"",INDIRECT(ADDRESS(SMALL((IF(F$42:F$73&lt;&gt;"",ROW(F$42:F$73),ROW()+ROWS(F$42:F$73))),ROW()-ROW(F$77:F$109)+1),COLUMN(F$42:F$73),4)))</f>
        <v/>
      </c>
      <c r="G90" s="235" t="str">
        <f t="array" aca="1" ref="G90" ca="1">IF(ROW()-ROW(G$77:G$109)+1&gt;ROWS(G$42:G$73)-COUNTBLANK(G$42:G$73),"",INDIRECT(ADDRESS(SMALL((IF(G$42:G$73&lt;&gt;"",ROW(G$42:G$73),ROW()+ROWS(G$42:G$73))),ROW()-ROW(G$77:G$109)+1),COLUMN(G$42:G$73),4)))</f>
        <v/>
      </c>
      <c r="H90" s="234" t="str">
        <f t="array" aca="1" ref="H90" ca="1">IF(ROW()-ROW(H$77:H$109)+1&gt;ROWS(H$42:H$73)-COUNTBLANK(H$42:H$73),"",INDIRECT(ADDRESS(SMALL((IF(H$42:H$73&lt;&gt;"",ROW(H$42:H$73),ROW()+ROWS(H$42:H$73))),ROW()-ROW(H$77:H$109)+1),COLUMN(H$42:H$73),4)))</f>
        <v/>
      </c>
      <c r="I90" s="229"/>
      <c r="J90" s="229"/>
      <c r="K90" s="229"/>
      <c r="L90" s="229"/>
    </row>
    <row r="91" spans="1:12" x14ac:dyDescent="0.2">
      <c r="A91" s="229"/>
      <c r="B91" s="233" t="str">
        <f t="array" aca="1" ref="B91" ca="1">IF(ROW()-ROW(B$77:B$109)+1&gt;ROWS(B$42:B$73)-COUNTBLANK(B$42:B$73),"",INDIRECT(ADDRESS(SMALL((IF(B$42:B$73&lt;&gt;"",ROW(B$42:B$73),ROW()+ROWS(B$42:B$73))),ROW()-ROW(B$77:B$109)+1),COLUMN(B$42:B$73),4)))</f>
        <v/>
      </c>
      <c r="C91" s="234" t="str">
        <f t="array" aca="1" ref="C91" ca="1">IF(ROW()-ROW(C$77:C$109)+1&gt;ROWS(C$42:C$73)-COUNTBLANK(C$42:C$73),"",INDIRECT(ADDRESS(SMALL((IF(C$42:C$73&lt;&gt;"",ROW(C$42:C$73),ROW()+ROWS(C$42:C$73))),ROW()-ROW(C$77:C$109)+1),COLUMN(C$42:C$73),4)))</f>
        <v/>
      </c>
      <c r="D91" s="235" t="str">
        <f t="array" aca="1" ref="D91" ca="1">IF(ROW()-ROW(D$77:D$109)+1&gt;ROWS(D$42:D$73)-COUNTBLANK(D$42:D$73),"",INDIRECT(ADDRESS(SMALL((IF(D$42:D$73&lt;&gt;"",ROW(D$42:D$73),ROW()+ROWS(D$42:D$73))),ROW()-ROW(D$77:D$109)+1),COLUMN(D$42:D$73),4)))</f>
        <v/>
      </c>
      <c r="E91" s="234"/>
      <c r="F91" s="234" t="str">
        <f t="array" aca="1" ref="F91" ca="1">IF(ROW()-ROW(F$77:F$109)+1&gt;ROWS(F$42:F$73)-COUNTBLANK(F$42:F$73),"",INDIRECT(ADDRESS(SMALL((IF(F$42:F$73&lt;&gt;"",ROW(F$42:F$73),ROW()+ROWS(F$42:F$73))),ROW()-ROW(F$77:F$109)+1),COLUMN(F$42:F$73),4)))</f>
        <v/>
      </c>
      <c r="G91" s="235" t="str">
        <f t="array" aca="1" ref="G91" ca="1">IF(ROW()-ROW(G$77:G$109)+1&gt;ROWS(G$42:G$73)-COUNTBLANK(G$42:G$73),"",INDIRECT(ADDRESS(SMALL((IF(G$42:G$73&lt;&gt;"",ROW(G$42:G$73),ROW()+ROWS(G$42:G$73))),ROW()-ROW(G$77:G$109)+1),COLUMN(G$42:G$73),4)))</f>
        <v/>
      </c>
      <c r="H91" s="234" t="str">
        <f t="array" aca="1" ref="H91" ca="1">IF(ROW()-ROW(H$77:H$109)+1&gt;ROWS(H$42:H$73)-COUNTBLANK(H$42:H$73),"",INDIRECT(ADDRESS(SMALL((IF(H$42:H$73&lt;&gt;"",ROW(H$42:H$73),ROW()+ROWS(H$42:H$73))),ROW()-ROW(H$77:H$109)+1),COLUMN(H$42:H$73),4)))</f>
        <v/>
      </c>
      <c r="I91" s="229"/>
      <c r="J91" s="229"/>
      <c r="K91" s="229"/>
      <c r="L91" s="229"/>
    </row>
    <row r="92" spans="1:12" x14ac:dyDescent="0.2">
      <c r="A92" s="229"/>
      <c r="B92" s="233" t="str">
        <f t="array" aca="1" ref="B92" ca="1">IF(ROW()-ROW(B$77:B$109)+1&gt;ROWS(B$42:B$73)-COUNTBLANK(B$42:B$73),"",INDIRECT(ADDRESS(SMALL((IF(B$42:B$73&lt;&gt;"",ROW(B$42:B$73),ROW()+ROWS(B$42:B$73))),ROW()-ROW(B$77:B$109)+1),COLUMN(B$42:B$73),4)))</f>
        <v/>
      </c>
      <c r="C92" s="234" t="str">
        <f t="array" aca="1" ref="C92" ca="1">IF(ROW()-ROW(C$77:C$109)+1&gt;ROWS(C$42:C$73)-COUNTBLANK(C$42:C$73),"",INDIRECT(ADDRESS(SMALL((IF(C$42:C$73&lt;&gt;"",ROW(C$42:C$73),ROW()+ROWS(C$42:C$73))),ROW()-ROW(C$77:C$109)+1),COLUMN(C$42:C$73),4)))</f>
        <v/>
      </c>
      <c r="D92" s="235" t="str">
        <f t="array" aca="1" ref="D92" ca="1">IF(ROW()-ROW(D$77:D$109)+1&gt;ROWS(D$42:D$73)-COUNTBLANK(D$42:D$73),"",INDIRECT(ADDRESS(SMALL((IF(D$42:D$73&lt;&gt;"",ROW(D$42:D$73),ROW()+ROWS(D$42:D$73))),ROW()-ROW(D$77:D$109)+1),COLUMN(D$42:D$73),4)))</f>
        <v/>
      </c>
      <c r="E92" s="234"/>
      <c r="F92" s="234" t="str">
        <f t="array" aca="1" ref="F92" ca="1">IF(ROW()-ROW(F$77:F$109)+1&gt;ROWS(F$42:F$73)-COUNTBLANK(F$42:F$73),"",INDIRECT(ADDRESS(SMALL((IF(F$42:F$73&lt;&gt;"",ROW(F$42:F$73),ROW()+ROWS(F$42:F$73))),ROW()-ROW(F$77:F$109)+1),COLUMN(F$42:F$73),4)))</f>
        <v/>
      </c>
      <c r="G92" s="235" t="str">
        <f t="array" aca="1" ref="G92" ca="1">IF(ROW()-ROW(G$77:G$109)+1&gt;ROWS(G$42:G$73)-COUNTBLANK(G$42:G$73),"",INDIRECT(ADDRESS(SMALL((IF(G$42:G$73&lt;&gt;"",ROW(G$42:G$73),ROW()+ROWS(G$42:G$73))),ROW()-ROW(G$77:G$109)+1),COLUMN(G$42:G$73),4)))</f>
        <v/>
      </c>
      <c r="H92" s="234" t="str">
        <f t="array" aca="1" ref="H92" ca="1">IF(ROW()-ROW(H$77:H$109)+1&gt;ROWS(H$42:H$73)-COUNTBLANK(H$42:H$73),"",INDIRECT(ADDRESS(SMALL((IF(H$42:H$73&lt;&gt;"",ROW(H$42:H$73),ROW()+ROWS(H$42:H$73))),ROW()-ROW(H$77:H$109)+1),COLUMN(H$42:H$73),4)))</f>
        <v/>
      </c>
      <c r="I92" s="229"/>
      <c r="J92" s="229"/>
      <c r="K92" s="229"/>
      <c r="L92" s="229"/>
    </row>
    <row r="93" spans="1:12" x14ac:dyDescent="0.2">
      <c r="A93" s="229"/>
      <c r="B93" s="233" t="str">
        <f t="array" aca="1" ref="B93" ca="1">IF(ROW()-ROW(B$77:B$109)+1&gt;ROWS(B$42:B$73)-COUNTBLANK(B$42:B$73),"",INDIRECT(ADDRESS(SMALL((IF(B$42:B$73&lt;&gt;"",ROW(B$42:B$73),ROW()+ROWS(B$42:B$73))),ROW()-ROW(B$77:B$109)+1),COLUMN(B$42:B$73),4)))</f>
        <v/>
      </c>
      <c r="C93" s="234" t="str">
        <f t="array" aca="1" ref="C93" ca="1">IF(ROW()-ROW(C$77:C$109)+1&gt;ROWS(C$42:C$73)-COUNTBLANK(C$42:C$73),"",INDIRECT(ADDRESS(SMALL((IF(C$42:C$73&lt;&gt;"",ROW(C$42:C$73),ROW()+ROWS(C$42:C$73))),ROW()-ROW(C$77:C$109)+1),COLUMN(C$42:C$73),4)))</f>
        <v/>
      </c>
      <c r="D93" s="235" t="str">
        <f t="array" aca="1" ref="D93" ca="1">IF(ROW()-ROW(D$77:D$109)+1&gt;ROWS(D$42:D$73)-COUNTBLANK(D$42:D$73),"",INDIRECT(ADDRESS(SMALL((IF(D$42:D$73&lt;&gt;"",ROW(D$42:D$73),ROW()+ROWS(D$42:D$73))),ROW()-ROW(D$77:D$109)+1),COLUMN(D$42:D$73),4)))</f>
        <v/>
      </c>
      <c r="E93" s="234"/>
      <c r="F93" s="234" t="str">
        <f t="array" aca="1" ref="F93" ca="1">IF(ROW()-ROW(F$77:F$109)+1&gt;ROWS(F$42:F$73)-COUNTBLANK(F$42:F$73),"",INDIRECT(ADDRESS(SMALL((IF(F$42:F$73&lt;&gt;"",ROW(F$42:F$73),ROW()+ROWS(F$42:F$73))),ROW()-ROW(F$77:F$109)+1),COLUMN(F$42:F$73),4)))</f>
        <v/>
      </c>
      <c r="G93" s="235" t="str">
        <f t="array" aca="1" ref="G93" ca="1">IF(ROW()-ROW(G$77:G$109)+1&gt;ROWS(G$42:G$73)-COUNTBLANK(G$42:G$73),"",INDIRECT(ADDRESS(SMALL((IF(G$42:G$73&lt;&gt;"",ROW(G$42:G$73),ROW()+ROWS(G$42:G$73))),ROW()-ROW(G$77:G$109)+1),COLUMN(G$42:G$73),4)))</f>
        <v/>
      </c>
      <c r="H93" s="234" t="str">
        <f t="array" aca="1" ref="H93" ca="1">IF(ROW()-ROW(H$77:H$109)+1&gt;ROWS(H$42:H$73)-COUNTBLANK(H$42:H$73),"",INDIRECT(ADDRESS(SMALL((IF(H$42:H$73&lt;&gt;"",ROW(H$42:H$73),ROW()+ROWS(H$42:H$73))),ROW()-ROW(H$77:H$109)+1),COLUMN(H$42:H$73),4)))</f>
        <v/>
      </c>
      <c r="I93" s="229"/>
      <c r="J93" s="229"/>
      <c r="K93" s="229"/>
      <c r="L93" s="229"/>
    </row>
    <row r="94" spans="1:12" x14ac:dyDescent="0.2">
      <c r="A94" s="229"/>
      <c r="B94" s="233" t="str">
        <f t="array" aca="1" ref="B94" ca="1">IF(ROW()-ROW(B$77:B$109)+1&gt;ROWS(B$42:B$73)-COUNTBLANK(B$42:B$73),"",INDIRECT(ADDRESS(SMALL((IF(B$42:B$73&lt;&gt;"",ROW(B$42:B$73),ROW()+ROWS(B$42:B$73))),ROW()-ROW(B$77:B$109)+1),COLUMN(B$42:B$73),4)))</f>
        <v/>
      </c>
      <c r="C94" s="234" t="str">
        <f t="array" aca="1" ref="C94" ca="1">IF(ROW()-ROW(C$77:C$109)+1&gt;ROWS(C$42:C$73)-COUNTBLANK(C$42:C$73),"",INDIRECT(ADDRESS(SMALL((IF(C$42:C$73&lt;&gt;"",ROW(C$42:C$73),ROW()+ROWS(C$42:C$73))),ROW()-ROW(C$77:C$109)+1),COLUMN(C$42:C$73),4)))</f>
        <v/>
      </c>
      <c r="D94" s="235" t="str">
        <f t="array" aca="1" ref="D94" ca="1">IF(ROW()-ROW(D$77:D$109)+1&gt;ROWS(D$42:D$73)-COUNTBLANK(D$42:D$73),"",INDIRECT(ADDRESS(SMALL((IF(D$42:D$73&lt;&gt;"",ROW(D$42:D$73),ROW()+ROWS(D$42:D$73))),ROW()-ROW(D$77:D$109)+1),COLUMN(D$42:D$73),4)))</f>
        <v/>
      </c>
      <c r="E94" s="234"/>
      <c r="F94" s="234" t="str">
        <f t="array" aca="1" ref="F94" ca="1">IF(ROW()-ROW(F$77:F$109)+1&gt;ROWS(F$42:F$73)-COUNTBLANK(F$42:F$73),"",INDIRECT(ADDRESS(SMALL((IF(F$42:F$73&lt;&gt;"",ROW(F$42:F$73),ROW()+ROWS(F$42:F$73))),ROW()-ROW(F$77:F$109)+1),COLUMN(F$42:F$73),4)))</f>
        <v/>
      </c>
      <c r="G94" s="235" t="str">
        <f t="array" aca="1" ref="G94" ca="1">IF(ROW()-ROW(G$77:G$109)+1&gt;ROWS(G$42:G$73)-COUNTBLANK(G$42:G$73),"",INDIRECT(ADDRESS(SMALL((IF(G$42:G$73&lt;&gt;"",ROW(G$42:G$73),ROW()+ROWS(G$42:G$73))),ROW()-ROW(G$77:G$109)+1),COLUMN(G$42:G$73),4)))</f>
        <v/>
      </c>
      <c r="H94" s="234" t="str">
        <f t="array" aca="1" ref="H94" ca="1">IF(ROW()-ROW(H$77:H$109)+1&gt;ROWS(H$42:H$73)-COUNTBLANK(H$42:H$73),"",INDIRECT(ADDRESS(SMALL((IF(H$42:H$73&lt;&gt;"",ROW(H$42:H$73),ROW()+ROWS(H$42:H$73))),ROW()-ROW(H$77:H$109)+1),COLUMN(H$42:H$73),4)))</f>
        <v/>
      </c>
      <c r="I94" s="229"/>
      <c r="J94" s="229"/>
      <c r="K94" s="229"/>
      <c r="L94" s="229"/>
    </row>
    <row r="95" spans="1:12" x14ac:dyDescent="0.2">
      <c r="A95" s="229"/>
      <c r="B95" s="233" t="str">
        <f t="array" aca="1" ref="B95" ca="1">IF(ROW()-ROW(B$77:B$109)+1&gt;ROWS(B$42:B$73)-COUNTBLANK(B$42:B$73),"",INDIRECT(ADDRESS(SMALL((IF(B$42:B$73&lt;&gt;"",ROW(B$42:B$73),ROW()+ROWS(B$42:B$73))),ROW()-ROW(B$77:B$109)+1),COLUMN(B$42:B$73),4)))</f>
        <v/>
      </c>
      <c r="C95" s="234" t="str">
        <f t="array" aca="1" ref="C95" ca="1">IF(ROW()-ROW(C$77:C$109)+1&gt;ROWS(C$42:C$73)-COUNTBLANK(C$42:C$73),"",INDIRECT(ADDRESS(SMALL((IF(C$42:C$73&lt;&gt;"",ROW(C$42:C$73),ROW()+ROWS(C$42:C$73))),ROW()-ROW(C$77:C$109)+1),COLUMN(C$42:C$73),4)))</f>
        <v/>
      </c>
      <c r="D95" s="235" t="str">
        <f t="array" aca="1" ref="D95" ca="1">IF(ROW()-ROW(D$77:D$109)+1&gt;ROWS(D$42:D$73)-COUNTBLANK(D$42:D$73),"",INDIRECT(ADDRESS(SMALL((IF(D$42:D$73&lt;&gt;"",ROW(D$42:D$73),ROW()+ROWS(D$42:D$73))),ROW()-ROW(D$77:D$109)+1),COLUMN(D$42:D$73),4)))</f>
        <v/>
      </c>
      <c r="E95" s="234"/>
      <c r="F95" s="234" t="str">
        <f t="array" aca="1" ref="F95" ca="1">IF(ROW()-ROW(F$77:F$109)+1&gt;ROWS(F$42:F$73)-COUNTBLANK(F$42:F$73),"",INDIRECT(ADDRESS(SMALL((IF(F$42:F$73&lt;&gt;"",ROW(F$42:F$73),ROW()+ROWS(F$42:F$73))),ROW()-ROW(F$77:F$109)+1),COLUMN(F$42:F$73),4)))</f>
        <v/>
      </c>
      <c r="G95" s="235" t="str">
        <f t="array" aca="1" ref="G95" ca="1">IF(ROW()-ROW(G$77:G$109)+1&gt;ROWS(G$42:G$73)-COUNTBLANK(G$42:G$73),"",INDIRECT(ADDRESS(SMALL((IF(G$42:G$73&lt;&gt;"",ROW(G$42:G$73),ROW()+ROWS(G$42:G$73))),ROW()-ROW(G$77:G$109)+1),COLUMN(G$42:G$73),4)))</f>
        <v/>
      </c>
      <c r="H95" s="234" t="str">
        <f t="array" aca="1" ref="H95" ca="1">IF(ROW()-ROW(H$77:H$109)+1&gt;ROWS(H$42:H$73)-COUNTBLANK(H$42:H$73),"",INDIRECT(ADDRESS(SMALL((IF(H$42:H$73&lt;&gt;"",ROW(H$42:H$73),ROW()+ROWS(H$42:H$73))),ROW()-ROW(H$77:H$109)+1),COLUMN(H$42:H$73),4)))</f>
        <v/>
      </c>
      <c r="I95" s="229"/>
      <c r="J95" s="229"/>
      <c r="K95" s="229"/>
      <c r="L95" s="229"/>
    </row>
    <row r="96" spans="1:12" x14ac:dyDescent="0.2">
      <c r="A96" s="229"/>
      <c r="B96" s="233" t="str">
        <f t="array" aca="1" ref="B96" ca="1">IF(ROW()-ROW(B$77:B$109)+1&gt;ROWS(B$42:B$73)-COUNTBLANK(B$42:B$73),"",INDIRECT(ADDRESS(SMALL((IF(B$42:B$73&lt;&gt;"",ROW(B$42:B$73),ROW()+ROWS(B$42:B$73))),ROW()-ROW(B$77:B$109)+1),COLUMN(B$42:B$73),4)))</f>
        <v/>
      </c>
      <c r="C96" s="234" t="str">
        <f t="array" aca="1" ref="C96" ca="1">IF(ROW()-ROW(C$77:C$109)+1&gt;ROWS(C$42:C$73)-COUNTBLANK(C$42:C$73),"",INDIRECT(ADDRESS(SMALL((IF(C$42:C$73&lt;&gt;"",ROW(C$42:C$73),ROW()+ROWS(C$42:C$73))),ROW()-ROW(C$77:C$109)+1),COLUMN(C$42:C$73),4)))</f>
        <v/>
      </c>
      <c r="D96" s="235" t="str">
        <f t="array" aca="1" ref="D96" ca="1">IF(ROW()-ROW(D$77:D$109)+1&gt;ROWS(D$42:D$73)-COUNTBLANK(D$42:D$73),"",INDIRECT(ADDRESS(SMALL((IF(D$42:D$73&lt;&gt;"",ROW(D$42:D$73),ROW()+ROWS(D$42:D$73))),ROW()-ROW(D$77:D$109)+1),COLUMN(D$42:D$73),4)))</f>
        <v/>
      </c>
      <c r="E96" s="234"/>
      <c r="F96" s="234" t="str">
        <f t="array" aca="1" ref="F96" ca="1">IF(ROW()-ROW(F$77:F$109)+1&gt;ROWS(F$42:F$73)-COUNTBLANK(F$42:F$73),"",INDIRECT(ADDRESS(SMALL((IF(F$42:F$73&lt;&gt;"",ROW(F$42:F$73),ROW()+ROWS(F$42:F$73))),ROW()-ROW(F$77:F$109)+1),COLUMN(F$42:F$73),4)))</f>
        <v/>
      </c>
      <c r="G96" s="235" t="str">
        <f t="array" aca="1" ref="G96" ca="1">IF(ROW()-ROW(G$77:G$109)+1&gt;ROWS(G$42:G$73)-COUNTBLANK(G$42:G$73),"",INDIRECT(ADDRESS(SMALL((IF(G$42:G$73&lt;&gt;"",ROW(G$42:G$73),ROW()+ROWS(G$42:G$73))),ROW()-ROW(G$77:G$109)+1),COLUMN(G$42:G$73),4)))</f>
        <v/>
      </c>
      <c r="H96" s="234" t="str">
        <f t="array" aca="1" ref="H96" ca="1">IF(ROW()-ROW(H$77:H$109)+1&gt;ROWS(H$42:H$73)-COUNTBLANK(H$42:H$73),"",INDIRECT(ADDRESS(SMALL((IF(H$42:H$73&lt;&gt;"",ROW(H$42:H$73),ROW()+ROWS(H$42:H$73))),ROW()-ROW(H$77:H$109)+1),COLUMN(H$42:H$73),4)))</f>
        <v/>
      </c>
      <c r="I96" s="229"/>
      <c r="J96" s="229"/>
      <c r="K96" s="229"/>
      <c r="L96" s="229"/>
    </row>
    <row r="97" spans="1:12" x14ac:dyDescent="0.2">
      <c r="A97" s="229"/>
      <c r="B97" s="233" t="str">
        <f t="array" aca="1" ref="B97" ca="1">IF(ROW()-ROW(B$77:B$109)+1&gt;ROWS(B$42:B$73)-COUNTBLANK(B$42:B$73),"",INDIRECT(ADDRESS(SMALL((IF(B$42:B$73&lt;&gt;"",ROW(B$42:B$73),ROW()+ROWS(B$42:B$73))),ROW()-ROW(B$77:B$109)+1),COLUMN(B$42:B$73),4)))</f>
        <v/>
      </c>
      <c r="C97" s="234" t="str">
        <f t="array" aca="1" ref="C97" ca="1">IF(ROW()-ROW(C$77:C$109)+1&gt;ROWS(C$42:C$73)-COUNTBLANK(C$42:C$73),"",INDIRECT(ADDRESS(SMALL((IF(C$42:C$73&lt;&gt;"",ROW(C$42:C$73),ROW()+ROWS(C$42:C$73))),ROW()-ROW(C$77:C$109)+1),COLUMN(C$42:C$73),4)))</f>
        <v/>
      </c>
      <c r="D97" s="235" t="str">
        <f t="array" aca="1" ref="D97" ca="1">IF(ROW()-ROW(D$77:D$109)+1&gt;ROWS(D$42:D$73)-COUNTBLANK(D$42:D$73),"",INDIRECT(ADDRESS(SMALL((IF(D$42:D$73&lt;&gt;"",ROW(D$42:D$73),ROW()+ROWS(D$42:D$73))),ROW()-ROW(D$77:D$109)+1),COLUMN(D$42:D$73),4)))</f>
        <v/>
      </c>
      <c r="E97" s="234"/>
      <c r="F97" s="234" t="str">
        <f t="array" aca="1" ref="F97" ca="1">IF(ROW()-ROW(F$77:F$109)+1&gt;ROWS(F$42:F$73)-COUNTBLANK(F$42:F$73),"",INDIRECT(ADDRESS(SMALL((IF(F$42:F$73&lt;&gt;"",ROW(F$42:F$73),ROW()+ROWS(F$42:F$73))),ROW()-ROW(F$77:F$109)+1),COLUMN(F$42:F$73),4)))</f>
        <v/>
      </c>
      <c r="G97" s="235" t="str">
        <f t="array" aca="1" ref="G97" ca="1">IF(ROW()-ROW(G$77:G$109)+1&gt;ROWS(G$42:G$73)-COUNTBLANK(G$42:G$73),"",INDIRECT(ADDRESS(SMALL((IF(G$42:G$73&lt;&gt;"",ROW(G$42:G$73),ROW()+ROWS(G$42:G$73))),ROW()-ROW(G$77:G$109)+1),COLUMN(G$42:G$73),4)))</f>
        <v/>
      </c>
      <c r="H97" s="234" t="str">
        <f t="array" aca="1" ref="H97" ca="1">IF(ROW()-ROW(H$77:H$109)+1&gt;ROWS(H$42:H$73)-COUNTBLANK(H$42:H$73),"",INDIRECT(ADDRESS(SMALL((IF(H$42:H$73&lt;&gt;"",ROW(H$42:H$73),ROW()+ROWS(H$42:H$73))),ROW()-ROW(H$77:H$109)+1),COLUMN(H$42:H$73),4)))</f>
        <v/>
      </c>
      <c r="I97" s="229"/>
      <c r="J97" s="229"/>
      <c r="K97" s="229"/>
      <c r="L97" s="229"/>
    </row>
    <row r="98" spans="1:12" x14ac:dyDescent="0.2">
      <c r="A98" s="229"/>
      <c r="B98" s="233" t="str">
        <f t="array" aca="1" ref="B98" ca="1">IF(ROW()-ROW(B$77:B$109)+1&gt;ROWS(B$42:B$73)-COUNTBLANK(B$42:B$73),"",INDIRECT(ADDRESS(SMALL((IF(B$42:B$73&lt;&gt;"",ROW(B$42:B$73),ROW()+ROWS(B$42:B$73))),ROW()-ROW(B$77:B$109)+1),COLUMN(B$42:B$73),4)))</f>
        <v/>
      </c>
      <c r="C98" s="234" t="str">
        <f t="array" aca="1" ref="C98" ca="1">IF(ROW()-ROW(C$77:C$109)+1&gt;ROWS(C$42:C$73)-COUNTBLANK(C$42:C$73),"",INDIRECT(ADDRESS(SMALL((IF(C$42:C$73&lt;&gt;"",ROW(C$42:C$73),ROW()+ROWS(C$42:C$73))),ROW()-ROW(C$77:C$109)+1),COLUMN(C$42:C$73),4)))</f>
        <v/>
      </c>
      <c r="D98" s="235" t="str">
        <f t="array" aca="1" ref="D98" ca="1">IF(ROW()-ROW(D$77:D$109)+1&gt;ROWS(D$42:D$73)-COUNTBLANK(D$42:D$73),"",INDIRECT(ADDRESS(SMALL((IF(D$42:D$73&lt;&gt;"",ROW(D$42:D$73),ROW()+ROWS(D$42:D$73))),ROW()-ROW(D$77:D$109)+1),COLUMN(D$42:D$73),4)))</f>
        <v/>
      </c>
      <c r="E98" s="234"/>
      <c r="F98" s="234" t="str">
        <f t="array" aca="1" ref="F98" ca="1">IF(ROW()-ROW(F$77:F$109)+1&gt;ROWS(F$42:F$73)-COUNTBLANK(F$42:F$73),"",INDIRECT(ADDRESS(SMALL((IF(F$42:F$73&lt;&gt;"",ROW(F$42:F$73),ROW()+ROWS(F$42:F$73))),ROW()-ROW(F$77:F$109)+1),COLUMN(F$42:F$73),4)))</f>
        <v/>
      </c>
      <c r="G98" s="235" t="str">
        <f t="array" aca="1" ref="G98" ca="1">IF(ROW()-ROW(G$77:G$109)+1&gt;ROWS(G$42:G$73)-COUNTBLANK(G$42:G$73),"",INDIRECT(ADDRESS(SMALL((IF(G$42:G$73&lt;&gt;"",ROW(G$42:G$73),ROW()+ROWS(G$42:G$73))),ROW()-ROW(G$77:G$109)+1),COLUMN(G$42:G$73),4)))</f>
        <v/>
      </c>
      <c r="H98" s="234" t="str">
        <f t="array" aca="1" ref="H98" ca="1">IF(ROW()-ROW(H$77:H$109)+1&gt;ROWS(H$42:H$73)-COUNTBLANK(H$42:H$73),"",INDIRECT(ADDRESS(SMALL((IF(H$42:H$73&lt;&gt;"",ROW(H$42:H$73),ROW()+ROWS(H$42:H$73))),ROW()-ROW(H$77:H$109)+1),COLUMN(H$42:H$73),4)))</f>
        <v/>
      </c>
      <c r="I98" s="229"/>
      <c r="J98" s="229"/>
      <c r="K98" s="229"/>
      <c r="L98" s="229"/>
    </row>
    <row r="99" spans="1:12" x14ac:dyDescent="0.2">
      <c r="A99" s="229"/>
      <c r="B99" s="233" t="str">
        <f t="array" aca="1" ref="B99" ca="1">IF(ROW()-ROW(B$77:B$109)+1&gt;ROWS(B$42:B$73)-COUNTBLANK(B$42:B$73),"",INDIRECT(ADDRESS(SMALL((IF(B$42:B$73&lt;&gt;"",ROW(B$42:B$73),ROW()+ROWS(B$42:B$73))),ROW()-ROW(B$77:B$109)+1),COLUMN(B$42:B$73),4)))</f>
        <v/>
      </c>
      <c r="C99" s="234" t="str">
        <f t="array" aca="1" ref="C99" ca="1">IF(ROW()-ROW(C$77:C$109)+1&gt;ROWS(C$42:C$73)-COUNTBLANK(C$42:C$73),"",INDIRECT(ADDRESS(SMALL((IF(C$42:C$73&lt;&gt;"",ROW(C$42:C$73),ROW()+ROWS(C$42:C$73))),ROW()-ROW(C$77:C$109)+1),COLUMN(C$42:C$73),4)))</f>
        <v/>
      </c>
      <c r="D99" s="235" t="str">
        <f t="array" aca="1" ref="D99" ca="1">IF(ROW()-ROW(D$77:D$109)+1&gt;ROWS(D$42:D$73)-COUNTBLANK(D$42:D$73),"",INDIRECT(ADDRESS(SMALL((IF(D$42:D$73&lt;&gt;"",ROW(D$42:D$73),ROW()+ROWS(D$42:D$73))),ROW()-ROW(D$77:D$109)+1),COLUMN(D$42:D$73),4)))</f>
        <v/>
      </c>
      <c r="E99" s="234"/>
      <c r="F99" s="234" t="str">
        <f t="array" aca="1" ref="F99" ca="1">IF(ROW()-ROW(F$77:F$109)+1&gt;ROWS(F$42:F$73)-COUNTBLANK(F$42:F$73),"",INDIRECT(ADDRESS(SMALL((IF(F$42:F$73&lt;&gt;"",ROW(F$42:F$73),ROW()+ROWS(F$42:F$73))),ROW()-ROW(F$77:F$109)+1),COLUMN(F$42:F$73),4)))</f>
        <v/>
      </c>
      <c r="G99" s="235" t="str">
        <f t="array" aca="1" ref="G99" ca="1">IF(ROW()-ROW(G$77:G$109)+1&gt;ROWS(G$42:G$73)-COUNTBLANK(G$42:G$73),"",INDIRECT(ADDRESS(SMALL((IF(G$42:G$73&lt;&gt;"",ROW(G$42:G$73),ROW()+ROWS(G$42:G$73))),ROW()-ROW(G$77:G$109)+1),COLUMN(G$42:G$73),4)))</f>
        <v/>
      </c>
      <c r="H99" s="234" t="str">
        <f t="array" aca="1" ref="H99" ca="1">IF(ROW()-ROW(H$77:H$109)+1&gt;ROWS(H$42:H$73)-COUNTBLANK(H$42:H$73),"",INDIRECT(ADDRESS(SMALL((IF(H$42:H$73&lt;&gt;"",ROW(H$42:H$73),ROW()+ROWS(H$42:H$73))),ROW()-ROW(H$77:H$109)+1),COLUMN(H$42:H$73),4)))</f>
        <v/>
      </c>
      <c r="I99" s="229"/>
      <c r="J99" s="229"/>
      <c r="K99" s="229"/>
      <c r="L99" s="229"/>
    </row>
    <row r="100" spans="1:12" x14ac:dyDescent="0.2">
      <c r="A100" s="229"/>
      <c r="B100" s="233" t="str">
        <f t="array" aca="1" ref="B100" ca="1">IF(ROW()-ROW(B$77:B$109)+1&gt;ROWS(B$42:B$73)-COUNTBLANK(B$42:B$73),"",INDIRECT(ADDRESS(SMALL((IF(B$42:B$73&lt;&gt;"",ROW(B$42:B$73),ROW()+ROWS(B$42:B$73))),ROW()-ROW(B$77:B$109)+1),COLUMN(B$42:B$73),4)))</f>
        <v/>
      </c>
      <c r="C100" s="234" t="str">
        <f t="array" aca="1" ref="C100" ca="1">IF(ROW()-ROW(C$77:C$109)+1&gt;ROWS(C$42:C$73)-COUNTBLANK(C$42:C$73),"",INDIRECT(ADDRESS(SMALL((IF(C$42:C$73&lt;&gt;"",ROW(C$42:C$73),ROW()+ROWS(C$42:C$73))),ROW()-ROW(C$77:C$109)+1),COLUMN(C$42:C$73),4)))</f>
        <v/>
      </c>
      <c r="D100" s="235" t="str">
        <f t="array" aca="1" ref="D100" ca="1">IF(ROW()-ROW(D$77:D$109)+1&gt;ROWS(D$42:D$73)-COUNTBLANK(D$42:D$73),"",INDIRECT(ADDRESS(SMALL((IF(D$42:D$73&lt;&gt;"",ROW(D$42:D$73),ROW()+ROWS(D$42:D$73))),ROW()-ROW(D$77:D$109)+1),COLUMN(D$42:D$73),4)))</f>
        <v/>
      </c>
      <c r="E100" s="234"/>
      <c r="F100" s="234" t="str">
        <f t="array" aca="1" ref="F100" ca="1">IF(ROW()-ROW(F$77:F$109)+1&gt;ROWS(F$42:F$73)-COUNTBLANK(F$42:F$73),"",INDIRECT(ADDRESS(SMALL((IF(F$42:F$73&lt;&gt;"",ROW(F$42:F$73),ROW()+ROWS(F$42:F$73))),ROW()-ROW(F$77:F$109)+1),COLUMN(F$42:F$73),4)))</f>
        <v/>
      </c>
      <c r="G100" s="235" t="str">
        <f t="array" aca="1" ref="G100" ca="1">IF(ROW()-ROW(G$77:G$109)+1&gt;ROWS(G$42:G$73)-COUNTBLANK(G$42:G$73),"",INDIRECT(ADDRESS(SMALL((IF(G$42:G$73&lt;&gt;"",ROW(G$42:G$73),ROW()+ROWS(G$42:G$73))),ROW()-ROW(G$77:G$109)+1),COLUMN(G$42:G$73),4)))</f>
        <v/>
      </c>
      <c r="H100" s="234" t="str">
        <f t="array" aca="1" ref="H100" ca="1">IF(ROW()-ROW(H$77:H$109)+1&gt;ROWS(H$42:H$73)-COUNTBLANK(H$42:H$73),"",INDIRECT(ADDRESS(SMALL((IF(H$42:H$73&lt;&gt;"",ROW(H$42:H$73),ROW()+ROWS(H$42:H$73))),ROW()-ROW(H$77:H$109)+1),COLUMN(H$42:H$73),4)))</f>
        <v/>
      </c>
      <c r="I100" s="229"/>
      <c r="J100" s="229"/>
      <c r="K100" s="229"/>
      <c r="L100" s="229"/>
    </row>
    <row r="101" spans="1:12" x14ac:dyDescent="0.2">
      <c r="A101" s="229"/>
      <c r="B101" s="233" t="str">
        <f t="array" aca="1" ref="B101" ca="1">IF(ROW()-ROW(B$77:B$109)+1&gt;ROWS(B$42:B$73)-COUNTBLANK(B$42:B$73),"",INDIRECT(ADDRESS(SMALL((IF(B$42:B$73&lt;&gt;"",ROW(B$42:B$73),ROW()+ROWS(B$42:B$73))),ROW()-ROW(B$77:B$109)+1),COLUMN(B$42:B$73),4)))</f>
        <v/>
      </c>
      <c r="C101" s="234" t="str">
        <f t="array" aca="1" ref="C101" ca="1">IF(ROW()-ROW(C$77:C$109)+1&gt;ROWS(C$42:C$73)-COUNTBLANK(C$42:C$73),"",INDIRECT(ADDRESS(SMALL((IF(C$42:C$73&lt;&gt;"",ROW(C$42:C$73),ROW()+ROWS(C$42:C$73))),ROW()-ROW(C$77:C$109)+1),COLUMN(C$42:C$73),4)))</f>
        <v/>
      </c>
      <c r="D101" s="235" t="str">
        <f t="array" aca="1" ref="D101" ca="1">IF(ROW()-ROW(D$77:D$109)+1&gt;ROWS(D$42:D$73)-COUNTBLANK(D$42:D$73),"",INDIRECT(ADDRESS(SMALL((IF(D$42:D$73&lt;&gt;"",ROW(D$42:D$73),ROW()+ROWS(D$42:D$73))),ROW()-ROW(D$77:D$109)+1),COLUMN(D$42:D$73),4)))</f>
        <v/>
      </c>
      <c r="E101" s="234"/>
      <c r="F101" s="234" t="str">
        <f t="array" aca="1" ref="F101" ca="1">IF(ROW()-ROW(F$77:F$109)+1&gt;ROWS(F$42:F$73)-COUNTBLANK(F$42:F$73),"",INDIRECT(ADDRESS(SMALL((IF(F$42:F$73&lt;&gt;"",ROW(F$42:F$73),ROW()+ROWS(F$42:F$73))),ROW()-ROW(F$77:F$109)+1),COLUMN(F$42:F$73),4)))</f>
        <v/>
      </c>
      <c r="G101" s="235" t="str">
        <f t="array" aca="1" ref="G101" ca="1">IF(ROW()-ROW(G$77:G$109)+1&gt;ROWS(G$42:G$73)-COUNTBLANK(G$42:G$73),"",INDIRECT(ADDRESS(SMALL((IF(G$42:G$73&lt;&gt;"",ROW(G$42:G$73),ROW()+ROWS(G$42:G$73))),ROW()-ROW(G$77:G$109)+1),COLUMN(G$42:G$73),4)))</f>
        <v/>
      </c>
      <c r="H101" s="234" t="str">
        <f t="array" aca="1" ref="H101" ca="1">IF(ROW()-ROW(H$77:H$109)+1&gt;ROWS(H$42:H$73)-COUNTBLANK(H$42:H$73),"",INDIRECT(ADDRESS(SMALL((IF(H$42:H$73&lt;&gt;"",ROW(H$42:H$73),ROW()+ROWS(H$42:H$73))),ROW()-ROW(H$77:H$109)+1),COLUMN(H$42:H$73),4)))</f>
        <v/>
      </c>
      <c r="I101" s="229"/>
      <c r="J101" s="229"/>
      <c r="K101" s="229"/>
      <c r="L101" s="229"/>
    </row>
    <row r="102" spans="1:12" x14ac:dyDescent="0.2">
      <c r="A102" s="229"/>
      <c r="B102" s="233" t="str">
        <f t="array" aca="1" ref="B102" ca="1">IF(ROW()-ROW(B$77:B$109)+1&gt;ROWS(B$42:B$73)-COUNTBLANK(B$42:B$73),"",INDIRECT(ADDRESS(SMALL((IF(B$42:B$73&lt;&gt;"",ROW(B$42:B$73),ROW()+ROWS(B$42:B$73))),ROW()-ROW(B$77:B$109)+1),COLUMN(B$42:B$73),4)))</f>
        <v/>
      </c>
      <c r="C102" s="234" t="str">
        <f t="array" aca="1" ref="C102" ca="1">IF(ROW()-ROW(C$77:C$109)+1&gt;ROWS(C$42:C$73)-COUNTBLANK(C$42:C$73),"",INDIRECT(ADDRESS(SMALL((IF(C$42:C$73&lt;&gt;"",ROW(C$42:C$73),ROW()+ROWS(C$42:C$73))),ROW()-ROW(C$77:C$109)+1),COLUMN(C$42:C$73),4)))</f>
        <v/>
      </c>
      <c r="D102" s="235" t="str">
        <f t="array" aca="1" ref="D102" ca="1">IF(ROW()-ROW(D$77:D$109)+1&gt;ROWS(D$42:D$73)-COUNTBLANK(D$42:D$73),"",INDIRECT(ADDRESS(SMALL((IF(D$42:D$73&lt;&gt;"",ROW(D$42:D$73),ROW()+ROWS(D$42:D$73))),ROW()-ROW(D$77:D$109)+1),COLUMN(D$42:D$73),4)))</f>
        <v/>
      </c>
      <c r="E102" s="234"/>
      <c r="F102" s="234" t="str">
        <f t="array" aca="1" ref="F102" ca="1">IF(ROW()-ROW(F$77:F$109)+1&gt;ROWS(F$42:F$73)-COUNTBLANK(F$42:F$73),"",INDIRECT(ADDRESS(SMALL((IF(F$42:F$73&lt;&gt;"",ROW(F$42:F$73),ROW()+ROWS(F$42:F$73))),ROW()-ROW(F$77:F$109)+1),COLUMN(F$42:F$73),4)))</f>
        <v/>
      </c>
      <c r="G102" s="235" t="str">
        <f t="array" aca="1" ref="G102" ca="1">IF(ROW()-ROW(G$77:G$109)+1&gt;ROWS(G$42:G$73)-COUNTBLANK(G$42:G$73),"",INDIRECT(ADDRESS(SMALL((IF(G$42:G$73&lt;&gt;"",ROW(G$42:G$73),ROW()+ROWS(G$42:G$73))),ROW()-ROW(G$77:G$109)+1),COLUMN(G$42:G$73),4)))</f>
        <v/>
      </c>
      <c r="H102" s="234" t="str">
        <f t="array" aca="1" ref="H102" ca="1">IF(ROW()-ROW(H$77:H$109)+1&gt;ROWS(H$42:H$73)-COUNTBLANK(H$42:H$73),"",INDIRECT(ADDRESS(SMALL((IF(H$42:H$73&lt;&gt;"",ROW(H$42:H$73),ROW()+ROWS(H$42:H$73))),ROW()-ROW(H$77:H$109)+1),COLUMN(H$42:H$73),4)))</f>
        <v/>
      </c>
      <c r="I102" s="229"/>
      <c r="J102" s="229"/>
      <c r="K102" s="229"/>
      <c r="L102" s="229"/>
    </row>
    <row r="103" spans="1:12" x14ac:dyDescent="0.2">
      <c r="A103" s="229"/>
      <c r="B103" s="233" t="str">
        <f t="array" aca="1" ref="B103" ca="1">IF(ROW()-ROW(B$77:B$109)+1&gt;ROWS(B$42:B$73)-COUNTBLANK(B$42:B$73),"",INDIRECT(ADDRESS(SMALL((IF(B$42:B$73&lt;&gt;"",ROW(B$42:B$73),ROW()+ROWS(B$42:B$73))),ROW()-ROW(B$77:B$109)+1),COLUMN(B$42:B$73),4)))</f>
        <v/>
      </c>
      <c r="C103" s="234" t="str">
        <f t="array" aca="1" ref="C103" ca="1">IF(ROW()-ROW(C$77:C$109)+1&gt;ROWS(C$42:C$73)-COUNTBLANK(C$42:C$73),"",INDIRECT(ADDRESS(SMALL((IF(C$42:C$73&lt;&gt;"",ROW(C$42:C$73),ROW()+ROWS(C$42:C$73))),ROW()-ROW(C$77:C$109)+1),COLUMN(C$42:C$73),4)))</f>
        <v/>
      </c>
      <c r="D103" s="235" t="str">
        <f t="array" aca="1" ref="D103" ca="1">IF(ROW()-ROW(D$77:D$109)+1&gt;ROWS(D$42:D$73)-COUNTBLANK(D$42:D$73),"",INDIRECT(ADDRESS(SMALL((IF(D$42:D$73&lt;&gt;"",ROW(D$42:D$73),ROW()+ROWS(D$42:D$73))),ROW()-ROW(D$77:D$109)+1),COLUMN(D$42:D$73),4)))</f>
        <v/>
      </c>
      <c r="E103" s="234"/>
      <c r="F103" s="234" t="str">
        <f t="array" aca="1" ref="F103" ca="1">IF(ROW()-ROW(F$77:F$109)+1&gt;ROWS(F$42:F$73)-COUNTBLANK(F$42:F$73),"",INDIRECT(ADDRESS(SMALL((IF(F$42:F$73&lt;&gt;"",ROW(F$42:F$73),ROW()+ROWS(F$42:F$73))),ROW()-ROW(F$77:F$109)+1),COLUMN(F$42:F$73),4)))</f>
        <v/>
      </c>
      <c r="G103" s="235" t="str">
        <f t="array" aca="1" ref="G103" ca="1">IF(ROW()-ROW(G$77:G$109)+1&gt;ROWS(G$42:G$73)-COUNTBLANK(G$42:G$73),"",INDIRECT(ADDRESS(SMALL((IF(G$42:G$73&lt;&gt;"",ROW(G$42:G$73),ROW()+ROWS(G$42:G$73))),ROW()-ROW(G$77:G$109)+1),COLUMN(G$42:G$73),4)))</f>
        <v/>
      </c>
      <c r="H103" s="234" t="str">
        <f t="array" aca="1" ref="H103" ca="1">IF(ROW()-ROW(H$77:H$109)+1&gt;ROWS(H$42:H$73)-COUNTBLANK(H$42:H$73),"",INDIRECT(ADDRESS(SMALL((IF(H$42:H$73&lt;&gt;"",ROW(H$42:H$73),ROW()+ROWS(H$42:H$73))),ROW()-ROW(H$77:H$109)+1),COLUMN(H$42:H$73),4)))</f>
        <v/>
      </c>
      <c r="I103" s="229"/>
      <c r="J103" s="229"/>
      <c r="K103" s="229"/>
      <c r="L103" s="229"/>
    </row>
    <row r="104" spans="1:12" x14ac:dyDescent="0.2">
      <c r="A104" s="229"/>
      <c r="B104" s="233" t="str">
        <f t="array" aca="1" ref="B104" ca="1">IF(ROW()-ROW(B$77:B$109)+1&gt;ROWS(B$42:B$73)-COUNTBLANK(B$42:B$73),"",INDIRECT(ADDRESS(SMALL((IF(B$42:B$73&lt;&gt;"",ROW(B$42:B$73),ROW()+ROWS(B$42:B$73))),ROW()-ROW(B$77:B$109)+1),COLUMN(B$42:B$73),4)))</f>
        <v/>
      </c>
      <c r="C104" s="234" t="str">
        <f t="array" aca="1" ref="C104" ca="1">IF(ROW()-ROW(C$77:C$109)+1&gt;ROWS(C$42:C$73)-COUNTBLANK(C$42:C$73),"",INDIRECT(ADDRESS(SMALL((IF(C$42:C$73&lt;&gt;"",ROW(C$42:C$73),ROW()+ROWS(C$42:C$73))),ROW()-ROW(C$77:C$109)+1),COLUMN(C$42:C$73),4)))</f>
        <v/>
      </c>
      <c r="D104" s="235" t="str">
        <f t="array" aca="1" ref="D104" ca="1">IF(ROW()-ROW(D$77:D$109)+1&gt;ROWS(D$42:D$73)-COUNTBLANK(D$42:D$73),"",INDIRECT(ADDRESS(SMALL((IF(D$42:D$73&lt;&gt;"",ROW(D$42:D$73),ROW()+ROWS(D$42:D$73))),ROW()-ROW(D$77:D$109)+1),COLUMN(D$42:D$73),4)))</f>
        <v/>
      </c>
      <c r="E104" s="234"/>
      <c r="F104" s="234" t="str">
        <f t="array" aca="1" ref="F104" ca="1">IF(ROW()-ROW(F$77:F$109)+1&gt;ROWS(F$42:F$73)-COUNTBLANK(F$42:F$73),"",INDIRECT(ADDRESS(SMALL((IF(F$42:F$73&lt;&gt;"",ROW(F$42:F$73),ROW()+ROWS(F$42:F$73))),ROW()-ROW(F$77:F$109)+1),COLUMN(F$42:F$73),4)))</f>
        <v/>
      </c>
      <c r="G104" s="235" t="str">
        <f t="array" aca="1" ref="G104" ca="1">IF(ROW()-ROW(G$77:G$109)+1&gt;ROWS(G$42:G$73)-COUNTBLANK(G$42:G$73),"",INDIRECT(ADDRESS(SMALL((IF(G$42:G$73&lt;&gt;"",ROW(G$42:G$73),ROW()+ROWS(G$42:G$73))),ROW()-ROW(G$77:G$109)+1),COLUMN(G$42:G$73),4)))</f>
        <v/>
      </c>
      <c r="H104" s="234" t="str">
        <f t="array" aca="1" ref="H104" ca="1">IF(ROW()-ROW(H$77:H$109)+1&gt;ROWS(H$42:H$73)-COUNTBLANK(H$42:H$73),"",INDIRECT(ADDRESS(SMALL((IF(H$42:H$73&lt;&gt;"",ROW(H$42:H$73),ROW()+ROWS(H$42:H$73))),ROW()-ROW(H$77:H$109)+1),COLUMN(H$42:H$73),4)))</f>
        <v/>
      </c>
      <c r="I104" s="229"/>
      <c r="J104" s="229"/>
      <c r="K104" s="229"/>
      <c r="L104" s="229"/>
    </row>
    <row r="105" spans="1:12" x14ac:dyDescent="0.2">
      <c r="A105" s="229"/>
      <c r="B105" s="233" t="str">
        <f t="array" aca="1" ref="B105" ca="1">IF(ROW()-ROW(B$77:B$109)+1&gt;ROWS(B$42:B$73)-COUNTBLANK(B$42:B$73),"",INDIRECT(ADDRESS(SMALL((IF(B$42:B$73&lt;&gt;"",ROW(B$42:B$73),ROW()+ROWS(B$42:B$73))),ROW()-ROW(B$77:B$109)+1),COLUMN(B$42:B$73),4)))</f>
        <v/>
      </c>
      <c r="C105" s="234" t="str">
        <f t="array" aca="1" ref="C105" ca="1">IF(ROW()-ROW(C$77:C$109)+1&gt;ROWS(C$42:C$73)-COUNTBLANK(C$42:C$73),"",INDIRECT(ADDRESS(SMALL((IF(C$42:C$73&lt;&gt;"",ROW(C$42:C$73),ROW()+ROWS(C$42:C$73))),ROW()-ROW(C$77:C$109)+1),COLUMN(C$42:C$73),4)))</f>
        <v/>
      </c>
      <c r="D105" s="235" t="str">
        <f t="array" aca="1" ref="D105" ca="1">IF(ROW()-ROW(D$77:D$109)+1&gt;ROWS(D$42:D$73)-COUNTBLANK(D$42:D$73),"",INDIRECT(ADDRESS(SMALL((IF(D$42:D$73&lt;&gt;"",ROW(D$42:D$73),ROW()+ROWS(D$42:D$73))),ROW()-ROW(D$77:D$109)+1),COLUMN(D$42:D$73),4)))</f>
        <v/>
      </c>
      <c r="E105" s="234"/>
      <c r="F105" s="234" t="str">
        <f t="array" aca="1" ref="F105" ca="1">IF(ROW()-ROW(F$77:F$109)+1&gt;ROWS(F$42:F$73)-COUNTBLANK(F$42:F$73),"",INDIRECT(ADDRESS(SMALL((IF(F$42:F$73&lt;&gt;"",ROW(F$42:F$73),ROW()+ROWS(F$42:F$73))),ROW()-ROW(F$77:F$109)+1),COLUMN(F$42:F$73),4)))</f>
        <v/>
      </c>
      <c r="G105" s="235" t="str">
        <f t="array" aca="1" ref="G105" ca="1">IF(ROW()-ROW(G$77:G$109)+1&gt;ROWS(G$42:G$73)-COUNTBLANK(G$42:G$73),"",INDIRECT(ADDRESS(SMALL((IF(G$42:G$73&lt;&gt;"",ROW(G$42:G$73),ROW()+ROWS(G$42:G$73))),ROW()-ROW(G$77:G$109)+1),COLUMN(G$42:G$73),4)))</f>
        <v/>
      </c>
      <c r="H105" s="234" t="str">
        <f t="array" aca="1" ref="H105" ca="1">IF(ROW()-ROW(H$77:H$109)+1&gt;ROWS(H$42:H$73)-COUNTBLANK(H$42:H$73),"",INDIRECT(ADDRESS(SMALL((IF(H$42:H$73&lt;&gt;"",ROW(H$42:H$73),ROW()+ROWS(H$42:H$73))),ROW()-ROW(H$77:H$109)+1),COLUMN(H$42:H$73),4)))</f>
        <v/>
      </c>
      <c r="I105" s="229"/>
      <c r="J105" s="229"/>
      <c r="K105" s="229"/>
      <c r="L105" s="229"/>
    </row>
    <row r="106" spans="1:12" x14ac:dyDescent="0.2">
      <c r="A106" s="229"/>
      <c r="B106" s="233" t="str">
        <f t="array" aca="1" ref="B106" ca="1">IF(ROW()-ROW(B$77:B$109)+1&gt;ROWS(B$42:B$73)-COUNTBLANK(B$42:B$73),"",INDIRECT(ADDRESS(SMALL((IF(B$42:B$73&lt;&gt;"",ROW(B$42:B$73),ROW()+ROWS(B$42:B$73))),ROW()-ROW(B$77:B$109)+1),COLUMN(B$42:B$73),4)))</f>
        <v/>
      </c>
      <c r="C106" s="234" t="str">
        <f t="array" aca="1" ref="C106" ca="1">IF(ROW()-ROW(C$77:C$109)+1&gt;ROWS(C$42:C$73)-COUNTBLANK(C$42:C$73),"",INDIRECT(ADDRESS(SMALL((IF(C$42:C$73&lt;&gt;"",ROW(C$42:C$73),ROW()+ROWS(C$42:C$73))),ROW()-ROW(C$77:C$109)+1),COLUMN(C$42:C$73),4)))</f>
        <v/>
      </c>
      <c r="D106" s="235" t="str">
        <f t="array" aca="1" ref="D106" ca="1">IF(ROW()-ROW(D$77:D$109)+1&gt;ROWS(D$42:D$73)-COUNTBLANK(D$42:D$73),"",INDIRECT(ADDRESS(SMALL((IF(D$42:D$73&lt;&gt;"",ROW(D$42:D$73),ROW()+ROWS(D$42:D$73))),ROW()-ROW(D$77:D$109)+1),COLUMN(D$42:D$73),4)))</f>
        <v/>
      </c>
      <c r="E106" s="234"/>
      <c r="F106" s="234" t="str">
        <f t="array" aca="1" ref="F106" ca="1">IF(ROW()-ROW(F$77:F$109)+1&gt;ROWS(F$42:F$73)-COUNTBLANK(F$42:F$73),"",INDIRECT(ADDRESS(SMALL((IF(F$42:F$73&lt;&gt;"",ROW(F$42:F$73),ROW()+ROWS(F$42:F$73))),ROW()-ROW(F$77:F$109)+1),COLUMN(F$42:F$73),4)))</f>
        <v/>
      </c>
      <c r="G106" s="235" t="str">
        <f t="array" aca="1" ref="G106" ca="1">IF(ROW()-ROW(G$77:G$109)+1&gt;ROWS(G$42:G$73)-COUNTBLANK(G$42:G$73),"",INDIRECT(ADDRESS(SMALL((IF(G$42:G$73&lt;&gt;"",ROW(G$42:G$73),ROW()+ROWS(G$42:G$73))),ROW()-ROW(G$77:G$109)+1),COLUMN(G$42:G$73),4)))</f>
        <v/>
      </c>
      <c r="H106" s="234" t="str">
        <f t="array" aca="1" ref="H106" ca="1">IF(ROW()-ROW(H$77:H$109)+1&gt;ROWS(H$42:H$73)-COUNTBLANK(H$42:H$73),"",INDIRECT(ADDRESS(SMALL((IF(H$42:H$73&lt;&gt;"",ROW(H$42:H$73),ROW()+ROWS(H$42:H$73))),ROW()-ROW(H$77:H$109)+1),COLUMN(H$42:H$73),4)))</f>
        <v/>
      </c>
      <c r="I106" s="229"/>
      <c r="J106" s="229"/>
      <c r="K106" s="229"/>
      <c r="L106" s="229"/>
    </row>
    <row r="107" spans="1:12" x14ac:dyDescent="0.2">
      <c r="A107" s="229"/>
      <c r="B107" s="233" t="str">
        <f t="array" aca="1" ref="B107" ca="1">IF(ROW()-ROW(B$77:B$109)+1&gt;ROWS(B$42:B$73)-COUNTBLANK(B$42:B$73),"",INDIRECT(ADDRESS(SMALL((IF(B$42:B$73&lt;&gt;"",ROW(B$42:B$73),ROW()+ROWS(B$42:B$73))),ROW()-ROW(B$77:B$109)+1),COLUMN(B$42:B$73),4)))</f>
        <v/>
      </c>
      <c r="C107" s="234" t="str">
        <f t="array" aca="1" ref="C107" ca="1">IF(ROW()-ROW(C$77:C$109)+1&gt;ROWS(C$42:C$73)-COUNTBLANK(C$42:C$73),"",INDIRECT(ADDRESS(SMALL((IF(C$42:C$73&lt;&gt;"",ROW(C$42:C$73),ROW()+ROWS(C$42:C$73))),ROW()-ROW(C$77:C$109)+1),COLUMN(C$42:C$73),4)))</f>
        <v/>
      </c>
      <c r="D107" s="235" t="str">
        <f t="array" aca="1" ref="D107" ca="1">IF(ROW()-ROW(D$77:D$109)+1&gt;ROWS(D$42:D$73)-COUNTBLANK(D$42:D$73),"",INDIRECT(ADDRESS(SMALL((IF(D$42:D$73&lt;&gt;"",ROW(D$42:D$73),ROW()+ROWS(D$42:D$73))),ROW()-ROW(D$77:D$109)+1),COLUMN(D$42:D$73),4)))</f>
        <v/>
      </c>
      <c r="E107" s="234"/>
      <c r="F107" s="234" t="str">
        <f t="array" aca="1" ref="F107" ca="1">IF(ROW()-ROW(F$77:F$109)+1&gt;ROWS(F$42:F$73)-COUNTBLANK(F$42:F$73),"",INDIRECT(ADDRESS(SMALL((IF(F$42:F$73&lt;&gt;"",ROW(F$42:F$73),ROW()+ROWS(F$42:F$73))),ROW()-ROW(F$77:F$109)+1),COLUMN(F$42:F$73),4)))</f>
        <v/>
      </c>
      <c r="G107" s="235" t="str">
        <f t="array" aca="1" ref="G107" ca="1">IF(ROW()-ROW(G$77:G$109)+1&gt;ROWS(G$42:G$73)-COUNTBLANK(G$42:G$73),"",INDIRECT(ADDRESS(SMALL((IF(G$42:G$73&lt;&gt;"",ROW(G$42:G$73),ROW()+ROWS(G$42:G$73))),ROW()-ROW(G$77:G$109)+1),COLUMN(G$42:G$73),4)))</f>
        <v/>
      </c>
      <c r="H107" s="234" t="str">
        <f t="array" aca="1" ref="H107" ca="1">IF(ROW()-ROW(H$77:H$109)+1&gt;ROWS(H$42:H$73)-COUNTBLANK(H$42:H$73),"",INDIRECT(ADDRESS(SMALL((IF(H$42:H$73&lt;&gt;"",ROW(H$42:H$73),ROW()+ROWS(H$42:H$73))),ROW()-ROW(H$77:H$109)+1),COLUMN(H$42:H$73),4)))</f>
        <v/>
      </c>
      <c r="I107" s="229"/>
      <c r="J107" s="229"/>
      <c r="K107" s="229"/>
      <c r="L107" s="229"/>
    </row>
    <row r="108" spans="1:12" x14ac:dyDescent="0.2">
      <c r="A108" s="229"/>
      <c r="B108" s="233" t="str">
        <f t="array" aca="1" ref="B108" ca="1">IF(ROW()-ROW(B$77:B$109)+1&gt;ROWS(B$42:B$73)-COUNTBLANK(B$42:B$73),"",INDIRECT(ADDRESS(SMALL((IF(B$42:B$73&lt;&gt;"",ROW(B$42:B$73),ROW()+ROWS(B$42:B$73))),ROW()-ROW(B$77:B$109)+1),COLUMN(B$42:B$73),4)))</f>
        <v/>
      </c>
      <c r="C108" s="234" t="str">
        <f t="array" aca="1" ref="C108" ca="1">IF(ROW()-ROW(C$77:C$109)+1&gt;ROWS(C$42:C$73)-COUNTBLANK(C$42:C$73),"",INDIRECT(ADDRESS(SMALL((IF(C$42:C$73&lt;&gt;"",ROW(C$42:C$73),ROW()+ROWS(C$42:C$73))),ROW()-ROW(C$77:C$109)+1),COLUMN(C$42:C$73),4)))</f>
        <v/>
      </c>
      <c r="D108" s="235" t="str">
        <f t="array" aca="1" ref="D108" ca="1">IF(ROW()-ROW(D$77:D$109)+1&gt;ROWS(D$42:D$73)-COUNTBLANK(D$42:D$73),"",INDIRECT(ADDRESS(SMALL((IF(D$42:D$73&lt;&gt;"",ROW(D$42:D$73),ROW()+ROWS(D$42:D$73))),ROW()-ROW(D$77:D$109)+1),COLUMN(D$42:D$73),4)))</f>
        <v/>
      </c>
      <c r="E108" s="234"/>
      <c r="F108" s="234" t="str">
        <f t="array" aca="1" ref="F108" ca="1">IF(ROW()-ROW(F$77:F$109)+1&gt;ROWS(F$42:F$73)-COUNTBLANK(F$42:F$73),"",INDIRECT(ADDRESS(SMALL((IF(F$42:F$73&lt;&gt;"",ROW(F$42:F$73),ROW()+ROWS(F$42:F$73))),ROW()-ROW(F$77:F$109)+1),COLUMN(F$42:F$73),4)))</f>
        <v/>
      </c>
      <c r="G108" s="235" t="str">
        <f t="array" aca="1" ref="G108" ca="1">IF(ROW()-ROW(G$77:G$109)+1&gt;ROWS(G$42:G$73)-COUNTBLANK(G$42:G$73),"",INDIRECT(ADDRESS(SMALL((IF(G$42:G$73&lt;&gt;"",ROW(G$42:G$73),ROW()+ROWS(G$42:G$73))),ROW()-ROW(G$77:G$109)+1),COLUMN(G$42:G$73),4)))</f>
        <v/>
      </c>
      <c r="H108" s="234" t="str">
        <f t="array" aca="1" ref="H108" ca="1">IF(ROW()-ROW(H$77:H$109)+1&gt;ROWS(H$42:H$73)-COUNTBLANK(H$42:H$73),"",INDIRECT(ADDRESS(SMALL((IF(H$42:H$73&lt;&gt;"",ROW(H$42:H$73),ROW()+ROWS(H$42:H$73))),ROW()-ROW(H$77:H$109)+1),COLUMN(H$42:H$73),4)))</f>
        <v/>
      </c>
      <c r="I108" s="229"/>
      <c r="J108" s="229"/>
      <c r="K108" s="229"/>
      <c r="L108" s="229"/>
    </row>
    <row r="109" spans="1:12" ht="13.5" thickBot="1" x14ac:dyDescent="0.25">
      <c r="A109" s="229"/>
      <c r="B109" s="236" t="str">
        <f t="array" aca="1" ref="B109" ca="1">IF(ROW()-ROW(B$77:B$109)+1&gt;ROWS(B$42:B$73)-COUNTBLANK(B$42:B$73),"",INDIRECT(ADDRESS(SMALL((IF(B$42:B$73&lt;&gt;"",ROW(B$42:B$73),ROW()+ROWS(B$42:B$73))),ROW()-ROW(B$77:B$109)+1),COLUMN(B$42:B$73),4)))</f>
        <v/>
      </c>
      <c r="C109" s="237" t="str">
        <f t="array" aca="1" ref="C109" ca="1">IF(ROW()-ROW(C$77:C$109)+1&gt;ROWS(C$42:C$73)-COUNTBLANK(C$42:C$73),"",INDIRECT(ADDRESS(SMALL((IF(C$42:C$73&lt;&gt;"",ROW(C$42:C$73),ROW()+ROWS(C$42:C$73))),ROW()-ROW(C$77:C$109)+1),COLUMN(C$42:C$73),4)))</f>
        <v/>
      </c>
      <c r="D109" s="238" t="str">
        <f t="array" aca="1" ref="D109" ca="1">IF(ROW()-ROW(D$77:D$109)+1&gt;ROWS(D$42:D$73)-COUNTBLANK(D$42:D$73),"",INDIRECT(ADDRESS(SMALL((IF(D$42:D$73&lt;&gt;"",ROW(D$42:D$73),ROW()+ROWS(D$42:D$73))),ROW()-ROW(D$77:D$109)+1),COLUMN(D$42:D$73),4)))</f>
        <v/>
      </c>
      <c r="E109" s="237"/>
      <c r="F109" s="237" t="str">
        <f t="array" aca="1" ref="F109" ca="1">IF(ROW()-ROW(F$77:F$109)+1&gt;ROWS(F$42:F$73)-COUNTBLANK(F$42:F$73),"",INDIRECT(ADDRESS(SMALL((IF(F$42:F$73&lt;&gt;"",ROW(F$42:F$73),ROW()+ROWS(F$42:F$73))),ROW()-ROW(F$77:F$109)+1),COLUMN(F$42:F$73),4)))</f>
        <v/>
      </c>
      <c r="G109" s="238" t="str">
        <f t="array" aca="1" ref="G109" ca="1">IF(ROW()-ROW(G$77:G$109)+1&gt;ROWS(G$42:G$73)-COUNTBLANK(G$42:G$73),"",INDIRECT(ADDRESS(SMALL((IF(G$42:G$73&lt;&gt;"",ROW(G$42:G$73),ROW()+ROWS(G$42:G$73))),ROW()-ROW(G$77:G$109)+1),COLUMN(G$42:G$73),4)))</f>
        <v/>
      </c>
      <c r="H109" s="237" t="str">
        <f t="array" aca="1" ref="H109" ca="1">IF(ROW()-ROW(H$77:H$109)+1&gt;ROWS(H$42:H$73)-COUNTBLANK(H$42:H$73),"",INDIRECT(ADDRESS(SMALL((IF(H$42:H$73&lt;&gt;"",ROW(H$42:H$73),ROW()+ROWS(H$42:H$73))),ROW()-ROW(H$77:H$109)+1),COLUMN(H$42:H$73),4)))</f>
        <v/>
      </c>
      <c r="I109" s="229"/>
      <c r="J109" s="229"/>
      <c r="K109" s="229"/>
      <c r="L109" s="229"/>
    </row>
    <row r="110" spans="1:12" ht="12.75" customHeight="1" thickBot="1" x14ac:dyDescent="0.25">
      <c r="A110" s="229"/>
      <c r="B110" s="25"/>
      <c r="C110" s="25"/>
      <c r="D110" s="25"/>
      <c r="E110" s="25"/>
      <c r="F110" s="25"/>
      <c r="G110" s="347" t="s">
        <v>210</v>
      </c>
      <c r="H110" s="348">
        <f>SUM(H42:H59)</f>
        <v>1680</v>
      </c>
      <c r="I110" s="229"/>
      <c r="J110" s="229"/>
      <c r="K110" s="229"/>
      <c r="L110" s="229"/>
    </row>
    <row r="111" spans="1:12" ht="13.5" thickBot="1" x14ac:dyDescent="0.25">
      <c r="A111" s="229"/>
      <c r="C111" s="240" t="s">
        <v>219</v>
      </c>
      <c r="D111" s="229"/>
      <c r="E111" s="239" t="s">
        <v>214</v>
      </c>
      <c r="F111" s="229"/>
      <c r="G111" s="347"/>
      <c r="H111" s="348"/>
      <c r="I111" s="229"/>
      <c r="J111" s="229"/>
      <c r="K111" s="229"/>
      <c r="L111" s="229"/>
    </row>
    <row r="112" spans="1:12" ht="13.5" thickBot="1" x14ac:dyDescent="0.25">
      <c r="A112" s="229"/>
      <c r="C112" s="345">
        <v>0</v>
      </c>
      <c r="D112" s="229"/>
      <c r="E112" s="350">
        <v>1</v>
      </c>
      <c r="F112" s="229"/>
      <c r="G112" s="347"/>
      <c r="H112" s="348"/>
      <c r="I112" s="229"/>
      <c r="J112" s="229"/>
      <c r="K112" s="229"/>
      <c r="L112" s="229"/>
    </row>
    <row r="113" spans="1:12" ht="13.5" thickBot="1" x14ac:dyDescent="0.25">
      <c r="A113" s="229"/>
      <c r="C113" s="346"/>
      <c r="D113" s="229"/>
      <c r="E113" s="351"/>
      <c r="F113" s="229"/>
      <c r="G113" s="347" t="s">
        <v>221</v>
      </c>
      <c r="H113" s="349">
        <f>SUM(H61:H73)</f>
        <v>0</v>
      </c>
      <c r="I113" s="229"/>
      <c r="J113" s="229"/>
      <c r="K113" s="229"/>
      <c r="L113" s="229"/>
    </row>
    <row r="114" spans="1:12" ht="13.5" thickBot="1" x14ac:dyDescent="0.25">
      <c r="A114" s="229"/>
      <c r="B114" s="229"/>
      <c r="C114" s="229"/>
      <c r="D114" s="229"/>
      <c r="E114" s="229"/>
      <c r="F114" s="229"/>
      <c r="G114" s="347"/>
      <c r="H114" s="349"/>
      <c r="I114" s="229"/>
      <c r="J114" s="229"/>
      <c r="K114" s="229"/>
      <c r="L114" s="229"/>
    </row>
    <row r="115" spans="1:12" ht="13.5" thickBot="1" x14ac:dyDescent="0.25">
      <c r="A115" s="229"/>
      <c r="C115" s="241" t="s">
        <v>218</v>
      </c>
      <c r="D115" s="229"/>
      <c r="E115" s="229"/>
      <c r="F115" s="229"/>
      <c r="G115" s="347"/>
      <c r="H115" s="349"/>
      <c r="I115" s="229"/>
      <c r="J115" s="229"/>
      <c r="K115" s="229"/>
      <c r="L115" s="229"/>
    </row>
    <row r="116" spans="1:12" ht="13.5" thickBot="1" x14ac:dyDescent="0.25">
      <c r="A116" s="229"/>
      <c r="C116" s="345">
        <v>0</v>
      </c>
      <c r="D116" s="229"/>
      <c r="E116" s="229"/>
      <c r="F116" s="229"/>
      <c r="G116" s="343" t="s">
        <v>211</v>
      </c>
      <c r="H116" s="344">
        <f>H110+H113</f>
        <v>1680</v>
      </c>
      <c r="I116" s="229"/>
      <c r="J116" s="229"/>
      <c r="K116" s="229"/>
      <c r="L116" s="229"/>
    </row>
    <row r="117" spans="1:12" ht="13.5" thickBot="1" x14ac:dyDescent="0.25">
      <c r="A117" s="229"/>
      <c r="C117" s="346"/>
      <c r="D117" s="229"/>
      <c r="E117" s="229"/>
      <c r="F117" s="229"/>
      <c r="G117" s="343"/>
      <c r="H117" s="344"/>
      <c r="I117" s="229"/>
      <c r="J117" s="229"/>
      <c r="K117" s="229"/>
      <c r="L117" s="229"/>
    </row>
    <row r="118" spans="1:12" ht="13.5" thickBot="1" x14ac:dyDescent="0.25">
      <c r="A118" s="229"/>
      <c r="B118" s="229"/>
      <c r="C118" s="229"/>
      <c r="D118" s="229"/>
      <c r="E118" s="229"/>
      <c r="F118" s="229"/>
      <c r="G118" s="343" t="s">
        <v>212</v>
      </c>
      <c r="H118" s="344">
        <f>E112*H116</f>
        <v>1680</v>
      </c>
      <c r="I118" s="229"/>
      <c r="J118" s="229"/>
      <c r="K118" s="229"/>
      <c r="L118" s="229"/>
    </row>
    <row r="119" spans="1:12" ht="13.5" thickBot="1" x14ac:dyDescent="0.25">
      <c r="A119" s="229"/>
      <c r="B119" s="229"/>
      <c r="C119" s="229"/>
      <c r="D119" s="229"/>
      <c r="E119" s="229"/>
      <c r="F119" s="229"/>
      <c r="G119" s="343"/>
      <c r="H119" s="344"/>
      <c r="I119" s="229"/>
      <c r="J119" s="229"/>
      <c r="K119" s="229"/>
      <c r="L119" s="229"/>
    </row>
    <row r="120" spans="1:12" x14ac:dyDescent="0.2">
      <c r="A120" s="229"/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  <c r="L120" s="229"/>
    </row>
  </sheetData>
  <sheetProtection password="CC21" sheet="1" objects="1" scenarios="1"/>
  <mergeCells count="18">
    <mergeCell ref="G118:G119"/>
    <mergeCell ref="H118:H119"/>
    <mergeCell ref="C116:C117"/>
    <mergeCell ref="H7:H8"/>
    <mergeCell ref="E7:E8"/>
    <mergeCell ref="G110:G112"/>
    <mergeCell ref="H110:H112"/>
    <mergeCell ref="G113:G115"/>
    <mergeCell ref="H113:H115"/>
    <mergeCell ref="C112:C113"/>
    <mergeCell ref="E112:E113"/>
    <mergeCell ref="G116:G117"/>
    <mergeCell ref="H116:H117"/>
    <mergeCell ref="B7:B8"/>
    <mergeCell ref="C7:C8"/>
    <mergeCell ref="D7:D8"/>
    <mergeCell ref="F7:F8"/>
    <mergeCell ref="G7:G8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53"/>
  <sheetViews>
    <sheetView topLeftCell="A17" zoomScale="70" zoomScaleNormal="70" zoomScaleSheetLayoutView="70" workbookViewId="0">
      <selection activeCell="E21" sqref="E21"/>
    </sheetView>
  </sheetViews>
  <sheetFormatPr defaultRowHeight="15" outlineLevelCol="1" x14ac:dyDescent="0.2"/>
  <cols>
    <col min="1" max="1" width="5.7109375" style="24" customWidth="1"/>
    <col min="2" max="2" width="30.7109375" style="25" customWidth="1"/>
    <col min="3" max="3" width="38.85546875" style="25" customWidth="1"/>
    <col min="4" max="5" width="33.28515625" style="22" customWidth="1"/>
    <col min="6" max="6" width="5.7109375" style="25" customWidth="1"/>
    <col min="7" max="7" width="30.7109375" style="25" customWidth="1"/>
    <col min="8" max="8" width="30.5703125" style="25" bestFit="1" customWidth="1"/>
    <col min="9" max="9" width="13.7109375" style="25" customWidth="1"/>
    <col min="10" max="10" width="20.5703125" style="25" bestFit="1" customWidth="1"/>
    <col min="11" max="11" width="53.42578125" style="25" customWidth="1"/>
    <col min="12" max="12" width="10.7109375" style="25" customWidth="1"/>
    <col min="13" max="13" width="50.7109375" style="25" customWidth="1"/>
    <col min="14" max="14" width="21.5703125" style="27" bestFit="1" customWidth="1"/>
    <col min="15" max="15" width="52.7109375" style="27" customWidth="1"/>
    <col min="16" max="16" width="22.7109375" style="25" customWidth="1"/>
    <col min="17" max="21" width="3.7109375" style="25" customWidth="1"/>
    <col min="22" max="23" width="3.7109375" style="25" customWidth="1" outlineLevel="1"/>
    <col min="24" max="24" width="31.5703125" style="25" customWidth="1" outlineLevel="1"/>
    <col min="25" max="25" width="15.140625" style="25" customWidth="1" outlineLevel="1"/>
    <col min="26" max="26" width="15.28515625" style="25" customWidth="1" outlineLevel="1"/>
    <col min="27" max="27" width="27.5703125" style="25" customWidth="1" outlineLevel="1"/>
    <col min="28" max="28" width="17.7109375" style="25" customWidth="1" outlineLevel="1"/>
    <col min="29" max="29" width="9.140625" style="25" customWidth="1" outlineLevel="1"/>
    <col min="30" max="16384" width="9.140625" style="25"/>
  </cols>
  <sheetData>
    <row r="1" spans="1:16" ht="25.5" x14ac:dyDescent="0.2">
      <c r="B1" s="23" t="s">
        <v>0</v>
      </c>
      <c r="C1" s="24" t="s">
        <v>1</v>
      </c>
      <c r="E1" s="24" t="s">
        <v>7</v>
      </c>
      <c r="F1" s="24"/>
      <c r="G1" s="24" t="s">
        <v>2</v>
      </c>
      <c r="H1" s="24" t="s">
        <v>8</v>
      </c>
      <c r="I1" s="24"/>
    </row>
    <row r="2" spans="1:16" ht="80.099999999999994" customHeight="1" x14ac:dyDescent="0.2">
      <c r="A2" s="24">
        <v>1</v>
      </c>
      <c r="B2" s="24">
        <v>1</v>
      </c>
      <c r="C2" s="28"/>
      <c r="D2" s="29" t="s">
        <v>10</v>
      </c>
      <c r="E2" s="30" t="s">
        <v>5</v>
      </c>
      <c r="F2" s="31">
        <v>1</v>
      </c>
      <c r="G2" s="32" t="s">
        <v>3</v>
      </c>
      <c r="H2" s="24" t="s">
        <v>6</v>
      </c>
      <c r="I2" s="24"/>
    </row>
    <row r="3" spans="1:16" ht="80.099999999999994" customHeight="1" x14ac:dyDescent="0.2">
      <c r="A3" s="24">
        <v>2</v>
      </c>
      <c r="B3" s="24">
        <v>2</v>
      </c>
      <c r="C3" s="28"/>
      <c r="D3" s="29" t="s">
        <v>11</v>
      </c>
      <c r="E3" s="30" t="s">
        <v>5</v>
      </c>
      <c r="F3" s="31">
        <v>2</v>
      </c>
      <c r="G3" s="32" t="s">
        <v>4</v>
      </c>
      <c r="H3" s="24" t="s">
        <v>6</v>
      </c>
      <c r="I3" s="24"/>
    </row>
    <row r="4" spans="1:16" ht="80.099999999999994" customHeight="1" x14ac:dyDescent="0.2">
      <c r="A4" s="24">
        <v>3</v>
      </c>
      <c r="B4" s="24"/>
      <c r="C4" s="33"/>
      <c r="D4" s="29"/>
      <c r="E4" s="30"/>
      <c r="F4" s="31"/>
      <c r="G4" s="12"/>
      <c r="H4" s="24"/>
      <c r="I4" s="24"/>
    </row>
    <row r="5" spans="1:16" ht="80.099999999999994" customHeight="1" x14ac:dyDescent="0.2">
      <c r="A5" s="14">
        <v>4</v>
      </c>
      <c r="B5" s="14"/>
      <c r="C5" s="33"/>
      <c r="D5" s="29"/>
      <c r="E5" s="30"/>
      <c r="F5" s="31"/>
      <c r="G5" s="12"/>
      <c r="H5" s="14"/>
      <c r="I5" s="14"/>
    </row>
    <row r="6" spans="1:16" ht="80.099999999999994" customHeight="1" x14ac:dyDescent="0.2">
      <c r="A6" s="14">
        <v>5</v>
      </c>
      <c r="B6" s="14"/>
      <c r="C6" s="33"/>
      <c r="D6" s="29"/>
      <c r="E6" s="30"/>
      <c r="F6" s="24"/>
      <c r="G6" s="12"/>
      <c r="H6" s="14"/>
      <c r="I6" s="14"/>
    </row>
    <row r="7" spans="1:16" ht="80.099999999999994" customHeight="1" x14ac:dyDescent="0.2">
      <c r="A7" s="14">
        <v>6</v>
      </c>
      <c r="B7" s="14"/>
      <c r="D7" s="34"/>
      <c r="E7" s="30"/>
      <c r="F7" s="24"/>
      <c r="G7" s="12"/>
      <c r="H7" s="14"/>
      <c r="I7" s="14"/>
    </row>
    <row r="8" spans="1:16" ht="80.099999999999994" customHeight="1" x14ac:dyDescent="0.35">
      <c r="A8" s="14">
        <v>7</v>
      </c>
      <c r="B8" s="14">
        <v>1</v>
      </c>
      <c r="D8" s="34"/>
      <c r="E8" s="30"/>
      <c r="F8" s="24"/>
      <c r="G8" s="12"/>
      <c r="H8" s="14"/>
      <c r="I8" s="14"/>
      <c r="M8" s="35"/>
      <c r="N8" s="36"/>
      <c r="O8" s="36"/>
      <c r="P8" s="35"/>
    </row>
    <row r="9" spans="1:16" ht="80.099999999999994" customHeight="1" x14ac:dyDescent="0.2">
      <c r="A9" s="14">
        <v>8</v>
      </c>
      <c r="B9" s="14">
        <v>2</v>
      </c>
      <c r="D9" s="34"/>
      <c r="E9" s="30"/>
      <c r="F9" s="14"/>
      <c r="G9" s="12"/>
      <c r="H9" s="14"/>
      <c r="I9" s="14"/>
    </row>
    <row r="10" spans="1:16" ht="80.099999999999994" customHeight="1" x14ac:dyDescent="0.2">
      <c r="A10" s="14">
        <v>9</v>
      </c>
      <c r="B10" s="14">
        <v>3</v>
      </c>
      <c r="D10" s="34"/>
      <c r="E10" s="30"/>
      <c r="F10" s="14"/>
      <c r="G10" s="12"/>
      <c r="H10" s="14"/>
      <c r="I10" s="14"/>
    </row>
    <row r="11" spans="1:16" ht="80.099999999999994" customHeight="1" x14ac:dyDescent="0.2">
      <c r="A11" s="14">
        <v>10</v>
      </c>
      <c r="B11" s="14">
        <v>4</v>
      </c>
      <c r="D11" s="34"/>
      <c r="E11" s="30"/>
      <c r="F11" s="14"/>
      <c r="G11" s="12"/>
      <c r="H11" s="24"/>
      <c r="I11" s="24"/>
    </row>
    <row r="12" spans="1:16" ht="80.099999999999994" customHeight="1" x14ac:dyDescent="0.2">
      <c r="A12" s="24">
        <v>11</v>
      </c>
      <c r="B12" s="24"/>
      <c r="D12" s="34"/>
      <c r="E12" s="30"/>
    </row>
    <row r="13" spans="1:16" ht="80.099999999999994" customHeight="1" x14ac:dyDescent="0.2">
      <c r="A13" s="14">
        <v>12</v>
      </c>
      <c r="B13" s="14"/>
      <c r="D13" s="34"/>
      <c r="E13" s="30"/>
    </row>
    <row r="14" spans="1:16" ht="150" customHeight="1" x14ac:dyDescent="0.2">
      <c r="A14" s="14">
        <v>13</v>
      </c>
      <c r="B14" s="14">
        <v>1</v>
      </c>
      <c r="D14" s="34"/>
      <c r="E14" s="30"/>
    </row>
    <row r="15" spans="1:16" ht="150" customHeight="1" x14ac:dyDescent="0.2">
      <c r="A15" s="14">
        <v>14</v>
      </c>
      <c r="B15" s="14">
        <v>2</v>
      </c>
      <c r="D15" s="34"/>
      <c r="E15" s="30"/>
    </row>
    <row r="16" spans="1:16" ht="150" customHeight="1" x14ac:dyDescent="0.2">
      <c r="A16" s="24">
        <v>15</v>
      </c>
      <c r="B16" s="24">
        <v>3</v>
      </c>
      <c r="D16" s="34"/>
      <c r="E16" s="30"/>
    </row>
    <row r="17" spans="1:5" ht="150" customHeight="1" x14ac:dyDescent="0.2">
      <c r="A17" s="24">
        <v>16</v>
      </c>
      <c r="B17" s="24">
        <v>4</v>
      </c>
      <c r="C17" s="28"/>
      <c r="D17" s="29"/>
      <c r="E17" s="30"/>
    </row>
    <row r="18" spans="1:5" ht="150" customHeight="1" x14ac:dyDescent="0.2">
      <c r="A18" s="24">
        <v>17</v>
      </c>
      <c r="B18" s="24">
        <v>5</v>
      </c>
      <c r="C18" s="28"/>
      <c r="D18" s="29"/>
      <c r="E18" s="30"/>
    </row>
    <row r="19" spans="1:5" ht="80.099999999999994" customHeight="1" x14ac:dyDescent="0.2">
      <c r="A19" s="24">
        <v>18</v>
      </c>
      <c r="B19" s="24"/>
      <c r="C19" s="33"/>
      <c r="D19" s="29"/>
      <c r="E19" s="30"/>
    </row>
    <row r="20" spans="1:5" ht="150" customHeight="1" x14ac:dyDescent="0.2">
      <c r="A20" s="24">
        <v>19</v>
      </c>
      <c r="B20" s="24">
        <v>1</v>
      </c>
      <c r="C20" s="33"/>
      <c r="D20" s="29"/>
      <c r="E20" s="30"/>
    </row>
    <row r="21" spans="1:5" ht="150" customHeight="1" x14ac:dyDescent="0.2">
      <c r="A21" s="24">
        <v>20</v>
      </c>
      <c r="B21" s="24">
        <v>2</v>
      </c>
      <c r="C21" s="33"/>
      <c r="D21" s="29"/>
      <c r="E21" s="30"/>
    </row>
    <row r="22" spans="1:5" ht="80.099999999999994" customHeight="1" x14ac:dyDescent="0.2">
      <c r="A22" s="24">
        <v>21</v>
      </c>
      <c r="B22" s="24"/>
      <c r="D22" s="34"/>
      <c r="E22" s="30"/>
    </row>
    <row r="23" spans="1:5" ht="150" customHeight="1" x14ac:dyDescent="0.2">
      <c r="A23" s="24">
        <v>22</v>
      </c>
      <c r="B23" s="24">
        <v>1</v>
      </c>
      <c r="D23" s="34"/>
      <c r="E23" s="30"/>
    </row>
    <row r="24" spans="1:5" ht="150" customHeight="1" x14ac:dyDescent="0.2">
      <c r="A24" s="24">
        <v>23</v>
      </c>
      <c r="B24" s="24">
        <v>2</v>
      </c>
      <c r="D24" s="34"/>
      <c r="E24" s="30"/>
    </row>
    <row r="25" spans="1:5" ht="150" customHeight="1" x14ac:dyDescent="0.2">
      <c r="A25" s="24">
        <v>24</v>
      </c>
      <c r="B25" s="24">
        <v>3</v>
      </c>
      <c r="D25" s="34"/>
      <c r="E25" s="30"/>
    </row>
    <row r="26" spans="1:5" ht="150" customHeight="1" x14ac:dyDescent="0.2">
      <c r="A26" s="24">
        <v>25</v>
      </c>
      <c r="B26" s="24">
        <v>4</v>
      </c>
      <c r="D26" s="34"/>
      <c r="E26" s="30"/>
    </row>
    <row r="27" spans="1:5" ht="80.099999999999994" customHeight="1" x14ac:dyDescent="0.2">
      <c r="A27" s="24">
        <v>26</v>
      </c>
      <c r="B27" s="24"/>
      <c r="D27" s="34"/>
      <c r="E27" s="30"/>
    </row>
    <row r="28" spans="1:5" ht="80.099999999999994" customHeight="1" x14ac:dyDescent="0.2">
      <c r="A28" s="24">
        <v>27</v>
      </c>
      <c r="B28" s="24"/>
      <c r="D28" s="34"/>
      <c r="E28" s="30"/>
    </row>
    <row r="29" spans="1:5" ht="80.099999999999994" customHeight="1" x14ac:dyDescent="0.2">
      <c r="A29" s="24">
        <v>28</v>
      </c>
      <c r="B29" s="24"/>
      <c r="D29" s="34"/>
      <c r="E29" s="30"/>
    </row>
    <row r="30" spans="1:5" ht="80.099999999999994" customHeight="1" x14ac:dyDescent="0.2">
      <c r="A30" s="24">
        <v>29</v>
      </c>
      <c r="B30" s="24"/>
      <c r="D30" s="34"/>
      <c r="E30" s="30"/>
    </row>
    <row r="31" spans="1:5" ht="80.099999999999994" customHeight="1" x14ac:dyDescent="0.2">
      <c r="A31" s="24">
        <v>30</v>
      </c>
      <c r="B31" s="24"/>
      <c r="D31" s="34"/>
      <c r="E31" s="30"/>
    </row>
    <row r="32" spans="1:5" ht="80.099999999999994" customHeight="1" x14ac:dyDescent="0.2">
      <c r="A32" s="24">
        <v>31</v>
      </c>
      <c r="B32" s="24"/>
      <c r="D32" s="29"/>
      <c r="E32" s="30"/>
    </row>
    <row r="33" spans="1:5" ht="80.099999999999994" customHeight="1" x14ac:dyDescent="0.2">
      <c r="A33" s="24">
        <v>32</v>
      </c>
      <c r="B33" s="24"/>
      <c r="D33" s="29"/>
      <c r="E33" s="30"/>
    </row>
    <row r="34" spans="1:5" ht="80.099999999999994" customHeight="1" x14ac:dyDescent="0.2">
      <c r="A34" s="24">
        <v>33</v>
      </c>
      <c r="B34" s="24"/>
      <c r="D34" s="29"/>
      <c r="E34" s="30"/>
    </row>
    <row r="35" spans="1:5" ht="80.099999999999994" customHeight="1" x14ac:dyDescent="0.2">
      <c r="A35" s="24">
        <v>34</v>
      </c>
      <c r="B35" s="24"/>
      <c r="D35" s="29"/>
      <c r="E35" s="30"/>
    </row>
    <row r="36" spans="1:5" ht="80.099999999999994" customHeight="1" x14ac:dyDescent="0.2">
      <c r="A36" s="24">
        <v>35</v>
      </c>
      <c r="B36" s="24"/>
      <c r="D36" s="29"/>
      <c r="E36" s="30"/>
    </row>
    <row r="37" spans="1:5" ht="80.099999999999994" customHeight="1" x14ac:dyDescent="0.2">
      <c r="A37" s="24">
        <v>36</v>
      </c>
      <c r="B37" s="24"/>
      <c r="D37" s="29"/>
      <c r="E37" s="30"/>
    </row>
    <row r="38" spans="1:5" ht="80.099999999999994" customHeight="1" x14ac:dyDescent="0.2">
      <c r="A38" s="24">
        <v>37</v>
      </c>
      <c r="B38" s="24"/>
      <c r="D38" s="29"/>
      <c r="E38" s="30"/>
    </row>
    <row r="39" spans="1:5" ht="80.099999999999994" customHeight="1" x14ac:dyDescent="0.2">
      <c r="A39" s="24">
        <v>38</v>
      </c>
      <c r="B39" s="24"/>
      <c r="D39" s="29"/>
      <c r="E39" s="30"/>
    </row>
    <row r="40" spans="1:5" ht="80.099999999999994" customHeight="1" x14ac:dyDescent="0.2">
      <c r="A40" s="24">
        <v>39</v>
      </c>
      <c r="B40" s="24"/>
      <c r="D40" s="29"/>
      <c r="E40" s="30"/>
    </row>
    <row r="41" spans="1:5" ht="80.099999999999994" customHeight="1" x14ac:dyDescent="0.2">
      <c r="A41" s="24">
        <v>40</v>
      </c>
      <c r="B41" s="24"/>
      <c r="D41" s="29"/>
      <c r="E41" s="30"/>
    </row>
    <row r="42" spans="1:5" ht="80.099999999999994" customHeight="1" x14ac:dyDescent="0.2">
      <c r="A42" s="24">
        <v>41</v>
      </c>
      <c r="B42" s="24"/>
      <c r="D42" s="29"/>
      <c r="E42" s="30"/>
    </row>
    <row r="43" spans="1:5" ht="80.099999999999994" customHeight="1" x14ac:dyDescent="0.2">
      <c r="A43" s="24">
        <v>42</v>
      </c>
      <c r="B43" s="24"/>
      <c r="D43" s="29"/>
      <c r="E43" s="30"/>
    </row>
    <row r="44" spans="1:5" ht="80.099999999999994" customHeight="1" x14ac:dyDescent="0.2">
      <c r="A44" s="24">
        <v>43</v>
      </c>
      <c r="B44" s="24"/>
      <c r="D44" s="34"/>
      <c r="E44" s="30"/>
    </row>
    <row r="45" spans="1:5" ht="80.099999999999994" customHeight="1" x14ac:dyDescent="0.2">
      <c r="A45" s="24">
        <v>44</v>
      </c>
      <c r="B45" s="24"/>
      <c r="D45" s="34"/>
      <c r="E45" s="30"/>
    </row>
    <row r="46" spans="1:5" ht="80.099999999999994" customHeight="1" x14ac:dyDescent="0.2">
      <c r="A46" s="24">
        <v>45</v>
      </c>
      <c r="B46" s="24"/>
      <c r="D46" s="34"/>
      <c r="E46" s="30"/>
    </row>
    <row r="47" spans="1:5" ht="80.099999999999994" customHeight="1" x14ac:dyDescent="0.2">
      <c r="A47" s="24">
        <v>46</v>
      </c>
      <c r="B47" s="24"/>
      <c r="D47" s="34"/>
      <c r="E47" s="30"/>
    </row>
    <row r="48" spans="1:5" ht="80.099999999999994" customHeight="1" x14ac:dyDescent="0.2">
      <c r="A48" s="24">
        <v>47</v>
      </c>
      <c r="B48" s="24"/>
      <c r="D48" s="34"/>
      <c r="E48" s="30"/>
    </row>
    <row r="49" spans="1:24" ht="80.099999999999994" customHeight="1" x14ac:dyDescent="0.2">
      <c r="A49" s="24">
        <v>48</v>
      </c>
      <c r="B49" s="24"/>
      <c r="D49" s="34"/>
      <c r="E49" s="30"/>
    </row>
    <row r="50" spans="1:24" ht="80.099999999999994" customHeight="1" x14ac:dyDescent="0.2">
      <c r="A50" s="24">
        <v>49</v>
      </c>
      <c r="B50" s="24"/>
      <c r="D50" s="34"/>
      <c r="E50" s="30"/>
    </row>
    <row r="51" spans="1:24" ht="80.099999999999994" customHeight="1" x14ac:dyDescent="0.2">
      <c r="A51" s="24">
        <v>50</v>
      </c>
      <c r="B51" s="24"/>
      <c r="D51" s="34"/>
      <c r="E51" s="30"/>
    </row>
    <row r="52" spans="1:24" ht="80.099999999999994" customHeight="1" x14ac:dyDescent="0.2">
      <c r="B52" s="24"/>
      <c r="D52" s="34"/>
      <c r="E52" s="30"/>
    </row>
    <row r="53" spans="1:24" ht="80.099999999999994" customHeight="1" x14ac:dyDescent="0.2">
      <c r="B53" s="24"/>
      <c r="D53" s="34"/>
      <c r="E53" s="30"/>
    </row>
    <row r="54" spans="1:24" ht="80.099999999999994" customHeight="1" x14ac:dyDescent="0.2">
      <c r="B54" s="5"/>
      <c r="D54" s="30"/>
      <c r="E54" s="30"/>
    </row>
    <row r="55" spans="1:24" ht="15" customHeight="1" x14ac:dyDescent="0.2"/>
    <row r="56" spans="1:24" ht="201.75" customHeight="1" x14ac:dyDescent="0.2">
      <c r="J56" s="23"/>
    </row>
    <row r="57" spans="1:24" ht="201.75" customHeight="1" x14ac:dyDescent="0.2">
      <c r="J57" s="23"/>
    </row>
    <row r="58" spans="1:24" ht="15" customHeight="1" x14ac:dyDescent="0.2"/>
    <row r="59" spans="1:24" ht="15.75" x14ac:dyDescent="0.2">
      <c r="J59" s="37"/>
      <c r="K59" s="23"/>
      <c r="L59" s="24"/>
      <c r="M59" s="24"/>
      <c r="N59" s="38"/>
      <c r="O59" s="38"/>
      <c r="P59" s="24"/>
      <c r="Q59" s="14"/>
      <c r="R59" s="37"/>
      <c r="S59" s="37"/>
      <c r="W59" s="23"/>
      <c r="X59" s="23"/>
    </row>
    <row r="60" spans="1:24" ht="15" customHeight="1" x14ac:dyDescent="0.25">
      <c r="L60" s="39"/>
      <c r="M60" s="39"/>
      <c r="N60" s="13"/>
      <c r="O60" s="13"/>
      <c r="S60" s="40"/>
      <c r="T60" s="40"/>
    </row>
    <row r="61" spans="1:24" ht="15" customHeight="1" x14ac:dyDescent="0.25">
      <c r="B61" s="41"/>
      <c r="C61" s="41"/>
      <c r="S61" s="40"/>
      <c r="T61" s="40"/>
    </row>
    <row r="62" spans="1:24" ht="80.099999999999994" customHeight="1" x14ac:dyDescent="0.25">
      <c r="B62" s="24"/>
      <c r="D62" s="24"/>
      <c r="E62" s="24"/>
      <c r="S62" s="40"/>
      <c r="T62" s="40"/>
    </row>
    <row r="63" spans="1:24" ht="80.099999999999994" customHeight="1" x14ac:dyDescent="0.25">
      <c r="B63" s="24"/>
      <c r="D63" s="24"/>
      <c r="E63" s="24"/>
      <c r="M63" s="1"/>
      <c r="S63" s="40"/>
      <c r="T63" s="40"/>
    </row>
    <row r="64" spans="1:24" ht="80.099999999999994" customHeight="1" x14ac:dyDescent="0.25">
      <c r="B64" s="24"/>
      <c r="D64" s="24"/>
      <c r="E64" s="24"/>
      <c r="M64" s="1"/>
      <c r="S64" s="40"/>
      <c r="T64" s="40"/>
    </row>
    <row r="65" spans="2:20" ht="80.099999999999994" customHeight="1" x14ac:dyDescent="0.25">
      <c r="B65" s="24"/>
      <c r="D65" s="24"/>
      <c r="E65" s="24"/>
      <c r="M65" s="1"/>
      <c r="S65" s="40"/>
      <c r="T65" s="40"/>
    </row>
    <row r="66" spans="2:20" ht="80.099999999999994" customHeight="1" x14ac:dyDescent="0.25">
      <c r="B66" s="24"/>
      <c r="D66" s="24"/>
      <c r="E66" s="24"/>
      <c r="M66" s="1"/>
      <c r="S66" s="40"/>
      <c r="T66" s="40"/>
    </row>
    <row r="67" spans="2:20" ht="80.099999999999994" customHeight="1" x14ac:dyDescent="0.25">
      <c r="B67" s="24"/>
      <c r="D67" s="24"/>
      <c r="E67" s="24"/>
      <c r="M67" s="1"/>
      <c r="S67" s="40"/>
      <c r="T67" s="40"/>
    </row>
    <row r="68" spans="2:20" ht="80.099999999999994" customHeight="1" x14ac:dyDescent="0.25">
      <c r="B68" s="24"/>
      <c r="D68" s="24"/>
      <c r="E68" s="24"/>
      <c r="M68" s="1"/>
      <c r="S68" s="40"/>
      <c r="T68" s="40"/>
    </row>
    <row r="69" spans="2:20" ht="80.099999999999994" customHeight="1" x14ac:dyDescent="0.25">
      <c r="B69" s="24"/>
      <c r="D69" s="24"/>
      <c r="E69" s="24"/>
      <c r="M69" s="1"/>
      <c r="S69" s="40"/>
      <c r="T69" s="40"/>
    </row>
    <row r="70" spans="2:20" ht="80.099999999999994" customHeight="1" x14ac:dyDescent="0.25">
      <c r="B70" s="24"/>
      <c r="D70" s="24"/>
      <c r="E70" s="24"/>
      <c r="M70" s="1"/>
      <c r="S70" s="40"/>
      <c r="T70" s="40"/>
    </row>
    <row r="71" spans="2:20" ht="80.099999999999994" customHeight="1" x14ac:dyDescent="0.2">
      <c r="B71" s="24"/>
      <c r="D71" s="24"/>
      <c r="E71" s="24"/>
      <c r="M71" s="1"/>
    </row>
    <row r="72" spans="2:20" ht="80.099999999999994" customHeight="1" x14ac:dyDescent="0.2">
      <c r="B72" s="24"/>
      <c r="D72" s="24"/>
      <c r="E72" s="24"/>
      <c r="M72" s="42"/>
    </row>
    <row r="73" spans="2:20" ht="80.099999999999994" customHeight="1" x14ac:dyDescent="0.2">
      <c r="B73" s="24"/>
      <c r="D73" s="24"/>
      <c r="E73" s="24"/>
    </row>
    <row r="74" spans="2:20" ht="80.099999999999994" customHeight="1" x14ac:dyDescent="0.2">
      <c r="B74" s="24"/>
      <c r="D74" s="24"/>
      <c r="E74" s="24"/>
    </row>
    <row r="75" spans="2:20" ht="80.099999999999994" customHeight="1" x14ac:dyDescent="0.2">
      <c r="B75" s="24"/>
      <c r="D75" s="24"/>
      <c r="E75" s="24"/>
    </row>
    <row r="76" spans="2:20" ht="80.099999999999994" customHeight="1" x14ac:dyDescent="0.2">
      <c r="B76" s="24"/>
      <c r="D76" s="24"/>
      <c r="E76" s="24"/>
    </row>
    <row r="77" spans="2:20" ht="80.099999999999994" customHeight="1" x14ac:dyDescent="0.2">
      <c r="B77" s="24"/>
      <c r="D77" s="24"/>
      <c r="E77" s="24"/>
    </row>
    <row r="78" spans="2:20" ht="80.099999999999994" customHeight="1" x14ac:dyDescent="0.25">
      <c r="B78" s="14"/>
      <c r="D78" s="24"/>
      <c r="E78" s="24"/>
      <c r="S78" s="40"/>
      <c r="T78" s="40"/>
    </row>
    <row r="79" spans="2:20" ht="80.099999999999994" customHeight="1" x14ac:dyDescent="0.25">
      <c r="B79" s="14"/>
      <c r="D79" s="24"/>
      <c r="E79" s="24"/>
      <c r="M79" s="41"/>
      <c r="S79" s="40"/>
      <c r="T79" s="40"/>
    </row>
    <row r="80" spans="2:20" ht="80.099999999999994" customHeight="1" x14ac:dyDescent="0.25">
      <c r="B80" s="14"/>
      <c r="D80" s="23"/>
      <c r="E80" s="24"/>
      <c r="M80" s="41"/>
      <c r="S80" s="40"/>
      <c r="T80" s="40"/>
    </row>
    <row r="81" spans="2:20" ht="80.099999999999994" customHeight="1" x14ac:dyDescent="0.25">
      <c r="B81" s="14"/>
      <c r="D81" s="23"/>
      <c r="E81" s="24"/>
      <c r="M81" s="41"/>
      <c r="S81" s="40"/>
      <c r="T81" s="40"/>
    </row>
    <row r="82" spans="2:20" ht="80.099999999999994" customHeight="1" x14ac:dyDescent="0.25">
      <c r="B82" s="14"/>
      <c r="D82" s="23"/>
      <c r="E82" s="24"/>
      <c r="M82" s="41"/>
      <c r="S82" s="40"/>
      <c r="T82" s="40"/>
    </row>
    <row r="83" spans="2:20" ht="80.099999999999994" customHeight="1" x14ac:dyDescent="0.25">
      <c r="B83" s="14"/>
      <c r="D83" s="23"/>
      <c r="E83" s="24"/>
      <c r="M83" s="41"/>
      <c r="S83" s="40"/>
      <c r="T83" s="40"/>
    </row>
    <row r="84" spans="2:20" ht="80.099999999999994" customHeight="1" x14ac:dyDescent="0.25">
      <c r="B84" s="14"/>
      <c r="D84" s="23"/>
      <c r="E84" s="24"/>
      <c r="M84" s="41"/>
      <c r="S84" s="40"/>
      <c r="T84" s="40"/>
    </row>
    <row r="85" spans="2:20" ht="80.099999999999994" customHeight="1" x14ac:dyDescent="0.25">
      <c r="B85" s="14"/>
      <c r="D85" s="23"/>
      <c r="E85" s="24"/>
      <c r="M85" s="41"/>
      <c r="S85" s="40"/>
      <c r="T85" s="40"/>
    </row>
    <row r="86" spans="2:20" ht="80.099999999999994" customHeight="1" x14ac:dyDescent="0.25">
      <c r="B86" s="14"/>
      <c r="D86" s="23"/>
      <c r="E86" s="24"/>
      <c r="M86" s="41"/>
      <c r="S86" s="40"/>
      <c r="T86" s="40"/>
    </row>
    <row r="87" spans="2:20" ht="80.099999999999994" customHeight="1" x14ac:dyDescent="0.25">
      <c r="B87" s="14"/>
      <c r="D87" s="23"/>
      <c r="E87" s="24"/>
      <c r="M87" s="41"/>
      <c r="S87" s="40"/>
      <c r="T87" s="40"/>
    </row>
    <row r="88" spans="2:20" ht="399.95" customHeight="1" x14ac:dyDescent="0.2">
      <c r="L88" s="43"/>
      <c r="N88" s="44"/>
      <c r="O88" s="44"/>
    </row>
    <row r="89" spans="2:20" ht="399.95" customHeight="1" x14ac:dyDescent="0.2">
      <c r="L89" s="43"/>
      <c r="N89" s="51"/>
      <c r="O89" s="44"/>
    </row>
    <row r="90" spans="2:20" ht="399.95" customHeight="1" x14ac:dyDescent="0.2">
      <c r="L90" s="43"/>
      <c r="N90" s="51"/>
      <c r="O90" s="44"/>
    </row>
    <row r="91" spans="2:20" ht="399.95" customHeight="1" x14ac:dyDescent="0.2">
      <c r="L91" s="43"/>
      <c r="N91" s="51"/>
      <c r="O91" s="44"/>
    </row>
    <row r="92" spans="2:20" ht="399.95" customHeight="1" x14ac:dyDescent="0.2">
      <c r="J92" s="37"/>
      <c r="K92" s="23"/>
      <c r="L92" s="43"/>
      <c r="M92" s="24"/>
      <c r="N92" s="51"/>
      <c r="O92" s="44"/>
      <c r="P92" s="24"/>
      <c r="Q92" s="14"/>
      <c r="R92" s="37"/>
    </row>
    <row r="93" spans="2:20" ht="399.95" customHeight="1" x14ac:dyDescent="0.2">
      <c r="J93" s="39"/>
      <c r="K93" s="39"/>
      <c r="L93" s="43"/>
      <c r="M93" s="39"/>
      <c r="N93" s="51"/>
      <c r="O93" s="44"/>
      <c r="P93" s="45"/>
      <c r="Q93" s="39"/>
      <c r="R93" s="39"/>
      <c r="S93" s="37"/>
    </row>
    <row r="94" spans="2:20" ht="399.95" customHeight="1" x14ac:dyDescent="0.25">
      <c r="L94" s="43"/>
      <c r="N94" s="51"/>
      <c r="O94" s="44"/>
      <c r="S94" s="46"/>
      <c r="T94" s="46"/>
    </row>
    <row r="95" spans="2:20" ht="399.95" customHeight="1" x14ac:dyDescent="0.25">
      <c r="L95" s="43"/>
      <c r="N95" s="51"/>
      <c r="O95" s="44"/>
      <c r="S95" s="46"/>
      <c r="T95" s="46"/>
    </row>
    <row r="96" spans="2:20" ht="399.95" customHeight="1" x14ac:dyDescent="0.25">
      <c r="L96" s="43"/>
      <c r="N96" s="51"/>
      <c r="O96" s="44"/>
      <c r="S96" s="40"/>
      <c r="T96" s="40"/>
    </row>
    <row r="97" spans="12:28" ht="399.95" customHeight="1" x14ac:dyDescent="0.25">
      <c r="L97" s="43"/>
      <c r="N97" s="51"/>
      <c r="O97" s="44"/>
      <c r="S97" s="15"/>
      <c r="T97" s="40"/>
    </row>
    <row r="98" spans="12:28" ht="399.95" customHeight="1" x14ac:dyDescent="0.25">
      <c r="L98" s="43"/>
      <c r="N98" s="51"/>
      <c r="O98" s="44"/>
      <c r="S98" s="46"/>
      <c r="T98" s="46"/>
    </row>
    <row r="99" spans="12:28" ht="399.95" customHeight="1" x14ac:dyDescent="0.2">
      <c r="L99" s="43"/>
      <c r="N99" s="51"/>
      <c r="O99" s="44"/>
    </row>
    <row r="100" spans="12:28" ht="399.95" customHeight="1" x14ac:dyDescent="0.2">
      <c r="L100" s="43"/>
      <c r="N100" s="51"/>
      <c r="O100" s="44"/>
    </row>
    <row r="101" spans="12:28" ht="399.95" customHeight="1" x14ac:dyDescent="0.2">
      <c r="L101" s="43"/>
      <c r="N101" s="51"/>
      <c r="O101" s="44"/>
      <c r="W101" s="39"/>
      <c r="X101" s="39"/>
      <c r="Y101" s="39"/>
      <c r="Z101" s="39"/>
      <c r="AA101" s="39"/>
      <c r="AB101" s="6"/>
    </row>
    <row r="102" spans="12:28" ht="399.95" customHeight="1" x14ac:dyDescent="0.2">
      <c r="L102" s="43"/>
      <c r="N102" s="44"/>
      <c r="O102" s="44"/>
    </row>
    <row r="103" spans="12:28" ht="399.95" customHeight="1" x14ac:dyDescent="0.2"/>
    <row r="104" spans="12:28" ht="399.95" customHeight="1" x14ac:dyDescent="0.2">
      <c r="X104" s="1"/>
    </row>
    <row r="105" spans="12:28" ht="399.95" customHeight="1" x14ac:dyDescent="0.2">
      <c r="X105" s="1"/>
    </row>
    <row r="106" spans="12:28" ht="15" customHeight="1" x14ac:dyDescent="0.2">
      <c r="X106" s="1"/>
    </row>
    <row r="107" spans="12:28" ht="170.1" customHeight="1" x14ac:dyDescent="0.2">
      <c r="N107" s="47"/>
      <c r="X107" s="1"/>
    </row>
    <row r="108" spans="12:28" ht="170.1" customHeight="1" x14ac:dyDescent="0.2">
      <c r="N108" s="47"/>
      <c r="X108" s="1"/>
    </row>
    <row r="109" spans="12:28" ht="15" customHeight="1" x14ac:dyDescent="0.2">
      <c r="X109" s="1"/>
    </row>
    <row r="110" spans="12:28" ht="270.75" customHeight="1" x14ac:dyDescent="0.2">
      <c r="N110" s="47"/>
      <c r="O110" s="17"/>
      <c r="P110" s="17"/>
      <c r="X110" s="1"/>
    </row>
    <row r="111" spans="12:28" ht="270.75" customHeight="1" x14ac:dyDescent="0.2">
      <c r="N111" s="47"/>
      <c r="O111" s="17"/>
      <c r="P111" s="18"/>
      <c r="X111" s="1"/>
    </row>
    <row r="112" spans="12:28" ht="15" customHeight="1" x14ac:dyDescent="0.2">
      <c r="X112" s="1"/>
    </row>
    <row r="113" spans="17:28" ht="15" customHeight="1" x14ac:dyDescent="0.2">
      <c r="X113" s="1"/>
    </row>
    <row r="114" spans="17:28" ht="15" customHeight="1" x14ac:dyDescent="0.2">
      <c r="X114" s="1"/>
    </row>
    <row r="115" spans="17:28" ht="15" customHeight="1" x14ac:dyDescent="0.2">
      <c r="Q115" s="352"/>
      <c r="R115" s="352"/>
      <c r="S115" s="352"/>
      <c r="T115" s="352"/>
      <c r="X115" s="1"/>
    </row>
    <row r="116" spans="17:28" ht="15" customHeight="1" x14ac:dyDescent="0.2">
      <c r="Q116" s="352"/>
      <c r="R116" s="352"/>
      <c r="S116" s="352"/>
      <c r="T116" s="352"/>
      <c r="X116" s="1"/>
    </row>
    <row r="117" spans="17:28" ht="15" customHeight="1" x14ac:dyDescent="0.2">
      <c r="Q117" s="352"/>
      <c r="R117" s="352"/>
      <c r="S117" s="352"/>
      <c r="T117" s="352"/>
      <c r="X117" s="1"/>
    </row>
    <row r="118" spans="17:28" ht="15" customHeight="1" x14ac:dyDescent="0.2">
      <c r="Q118" s="352"/>
      <c r="R118" s="352"/>
      <c r="S118" s="352"/>
      <c r="T118" s="352"/>
      <c r="X118" s="1"/>
    </row>
    <row r="119" spans="17:28" ht="15" customHeight="1" x14ac:dyDescent="0.2">
      <c r="Q119" s="352"/>
      <c r="R119" s="352"/>
      <c r="S119" s="352"/>
      <c r="T119" s="352"/>
      <c r="X119" s="42"/>
    </row>
    <row r="120" spans="17:28" ht="15" customHeight="1" x14ac:dyDescent="0.2">
      <c r="Q120" s="353"/>
      <c r="R120" s="353"/>
      <c r="S120" s="353"/>
      <c r="T120" s="353"/>
      <c r="U120" s="353"/>
      <c r="V120" s="353"/>
      <c r="X120" s="48"/>
    </row>
    <row r="121" spans="17:28" ht="15" customHeight="1" x14ac:dyDescent="0.2">
      <c r="Q121" s="353"/>
      <c r="R121" s="353"/>
      <c r="S121" s="353"/>
      <c r="T121" s="353"/>
      <c r="U121" s="353"/>
      <c r="V121" s="353"/>
      <c r="X121" s="48"/>
    </row>
    <row r="122" spans="17:28" ht="15" customHeight="1" x14ac:dyDescent="0.2">
      <c r="Q122" s="353"/>
      <c r="R122" s="353"/>
      <c r="S122" s="353"/>
      <c r="T122" s="353"/>
      <c r="U122" s="353"/>
      <c r="V122" s="353"/>
      <c r="X122" s="32"/>
    </row>
    <row r="123" spans="17:28" ht="15" customHeight="1" x14ac:dyDescent="0.2">
      <c r="Q123" s="26"/>
      <c r="R123" s="26"/>
      <c r="S123" s="26"/>
      <c r="T123" s="26"/>
      <c r="U123" s="26"/>
      <c r="V123" s="26"/>
      <c r="X123" s="32"/>
    </row>
    <row r="124" spans="17:28" ht="15" customHeight="1" x14ac:dyDescent="0.2">
      <c r="Q124" s="353"/>
      <c r="R124" s="353"/>
      <c r="S124" s="353"/>
      <c r="T124" s="353"/>
      <c r="U124" s="353"/>
      <c r="V124" s="353"/>
    </row>
    <row r="125" spans="17:28" ht="15" customHeight="1" x14ac:dyDescent="0.2">
      <c r="Q125" s="353"/>
      <c r="R125" s="353"/>
      <c r="S125" s="353"/>
      <c r="T125" s="353"/>
      <c r="U125" s="353"/>
      <c r="V125" s="353"/>
      <c r="W125" s="39"/>
      <c r="Y125" s="39"/>
      <c r="Z125" s="39"/>
      <c r="AA125" s="39"/>
      <c r="AB125" s="6"/>
    </row>
    <row r="126" spans="17:28" ht="15" customHeight="1" x14ac:dyDescent="0.2">
      <c r="Q126" s="353"/>
      <c r="R126" s="353"/>
      <c r="S126" s="353"/>
      <c r="T126" s="353"/>
      <c r="U126" s="353"/>
      <c r="V126" s="353"/>
    </row>
    <row r="127" spans="17:28" ht="15" customHeight="1" x14ac:dyDescent="0.2"/>
    <row r="128" spans="17:28" ht="15" customHeight="1" x14ac:dyDescent="0.2">
      <c r="X128" s="1"/>
    </row>
    <row r="129" spans="23:28" ht="15" customHeight="1" x14ac:dyDescent="0.2">
      <c r="X129" s="1"/>
    </row>
    <row r="130" spans="23:28" ht="15" customHeight="1" x14ac:dyDescent="0.2">
      <c r="X130" s="1"/>
    </row>
    <row r="131" spans="23:28" ht="15" customHeight="1" x14ac:dyDescent="0.2">
      <c r="X131" s="1"/>
    </row>
    <row r="132" spans="23:28" ht="15" customHeight="1" x14ac:dyDescent="0.2">
      <c r="X132" s="1"/>
    </row>
    <row r="133" spans="23:28" ht="399.95" customHeight="1" x14ac:dyDescent="0.2">
      <c r="X133" s="1"/>
    </row>
    <row r="134" spans="23:28" ht="80.099999999999994" customHeight="1" x14ac:dyDescent="0.2">
      <c r="X134" s="1"/>
    </row>
    <row r="135" spans="23:28" ht="80.099999999999994" customHeight="1" x14ac:dyDescent="0.2">
      <c r="X135" s="42"/>
    </row>
    <row r="136" spans="23:28" x14ac:dyDescent="0.2">
      <c r="W136" s="24"/>
      <c r="X136" s="39"/>
    </row>
    <row r="137" spans="23:28" x14ac:dyDescent="0.2">
      <c r="X137" s="49"/>
    </row>
    <row r="138" spans="23:28" x14ac:dyDescent="0.2">
      <c r="X138" s="50"/>
    </row>
    <row r="142" spans="23:28" x14ac:dyDescent="0.2">
      <c r="W142" s="39"/>
      <c r="X142" s="39"/>
      <c r="Y142" s="39"/>
      <c r="Z142" s="39"/>
      <c r="AA142" s="39"/>
      <c r="AB142" s="6"/>
    </row>
    <row r="145" spans="23:24" x14ac:dyDescent="0.2">
      <c r="X145" s="1"/>
    </row>
    <row r="146" spans="23:24" x14ac:dyDescent="0.2">
      <c r="X146" s="1"/>
    </row>
    <row r="147" spans="23:24" x14ac:dyDescent="0.2">
      <c r="X147" s="1"/>
    </row>
    <row r="148" spans="23:24" x14ac:dyDescent="0.2">
      <c r="X148" s="1"/>
    </row>
    <row r="149" spans="23:24" x14ac:dyDescent="0.2">
      <c r="X149" s="1"/>
    </row>
    <row r="150" spans="23:24" x14ac:dyDescent="0.2">
      <c r="X150" s="1"/>
    </row>
    <row r="151" spans="23:24" x14ac:dyDescent="0.2">
      <c r="X151" s="1"/>
    </row>
    <row r="152" spans="23:24" x14ac:dyDescent="0.2">
      <c r="X152" s="42"/>
    </row>
    <row r="153" spans="23:24" x14ac:dyDescent="0.2">
      <c r="W153" s="24"/>
      <c r="X153" s="39"/>
    </row>
  </sheetData>
  <sheetProtection password="CC21" sheet="1" objects="1" scenarios="1"/>
  <dataConsolidate/>
  <customSheetViews>
    <customSheetView guid="{69E37F77-0F0A-4549-A0BD-80262A5262E4}" topLeftCell="A7">
      <selection activeCell="G2" sqref="G2"/>
      <pageMargins left="0.39370078740157483" right="0.39370078740157483" top="0.39370078740157483" bottom="0.39370078740157483" header="0.51181102362204722" footer="0.51181102362204722"/>
      <pageSetup paperSize="9" orientation="portrait" horizontalDpi="300" verticalDpi="300" r:id="rId1"/>
      <headerFooter alignWithMargins="0"/>
    </customSheetView>
  </customSheetViews>
  <mergeCells count="3">
    <mergeCell ref="Q115:T119"/>
    <mergeCell ref="Q120:V122"/>
    <mergeCell ref="Q124:V126"/>
  </mergeCells>
  <phoneticPr fontId="5" type="noConversion"/>
  <pageMargins left="0.39370078740157483" right="0.39370078740157483" top="0.39370078740157483" bottom="0.19685039370078741" header="0.39370078740157483" footer="0.19685039370078741"/>
  <pageSetup paperSize="9" scale="80" orientation="portrait" horizontalDpi="300" verticalDpi="300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AutoCAD.Drawing.17" shapeId="1157" r:id="rId5">
          <objectPr defaultSize="0" autoPict="0" r:id="rId6">
            <anchor moveWithCells="1" sizeWithCells="1">
              <from>
                <xdr:col>2</xdr:col>
                <xdr:colOff>19050</xdr:colOff>
                <xdr:row>1</xdr:row>
                <xdr:rowOff>9525</xdr:rowOff>
              </from>
              <to>
                <xdr:col>2</xdr:col>
                <xdr:colOff>2371725</xdr:colOff>
                <xdr:row>2</xdr:row>
                <xdr:rowOff>0</xdr:rowOff>
              </to>
            </anchor>
          </objectPr>
        </oleObject>
      </mc:Choice>
      <mc:Fallback>
        <oleObject progId="AutoCAD.Drawing.17" shapeId="1157" r:id="rId5"/>
      </mc:Fallback>
    </mc:AlternateContent>
    <mc:AlternateContent xmlns:mc="http://schemas.openxmlformats.org/markup-compatibility/2006">
      <mc:Choice Requires="x14">
        <oleObject progId="AutoCAD.Drawing.18" shapeId="1159" r:id="rId7">
          <objectPr defaultSize="0" autoPict="0" r:id="rId8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2</xdr:col>
                <xdr:colOff>1495425</xdr:colOff>
                <xdr:row>7</xdr:row>
                <xdr:rowOff>1000125</xdr:rowOff>
              </to>
            </anchor>
          </objectPr>
        </oleObject>
      </mc:Choice>
      <mc:Fallback>
        <oleObject progId="AutoCAD.Drawing.18" shapeId="1159" r:id="rId7"/>
      </mc:Fallback>
    </mc:AlternateContent>
    <mc:AlternateContent xmlns:mc="http://schemas.openxmlformats.org/markup-compatibility/2006">
      <mc:Choice Requires="x14">
        <oleObject progId="AutoCAD.Drawing.18" shapeId="1160" r:id="rId9">
          <objectPr defaultSize="0" autoPict="0" r:id="rId10">
            <anchor moveWithCells="1">
              <from>
                <xdr:col>2</xdr:col>
                <xdr:colOff>9525</xdr:colOff>
                <xdr:row>8</xdr:row>
                <xdr:rowOff>0</xdr:rowOff>
              </from>
              <to>
                <xdr:col>2</xdr:col>
                <xdr:colOff>1352550</xdr:colOff>
                <xdr:row>8</xdr:row>
                <xdr:rowOff>904875</xdr:rowOff>
              </to>
            </anchor>
          </objectPr>
        </oleObject>
      </mc:Choice>
      <mc:Fallback>
        <oleObject progId="AutoCAD.Drawing.18" shapeId="1160" r:id="rId9"/>
      </mc:Fallback>
    </mc:AlternateContent>
    <mc:AlternateContent xmlns:mc="http://schemas.openxmlformats.org/markup-compatibility/2006">
      <mc:Choice Requires="x14">
        <oleObject progId="AutoCAD.Drawing.18" shapeId="1161" r:id="rId11">
          <objectPr defaultSize="0" autoPict="0" r:id="rId12">
            <anchor moveWithCells="1">
              <from>
                <xdr:col>2</xdr:col>
                <xdr:colOff>9525</xdr:colOff>
                <xdr:row>9</xdr:row>
                <xdr:rowOff>0</xdr:rowOff>
              </from>
              <to>
                <xdr:col>2</xdr:col>
                <xdr:colOff>1619250</xdr:colOff>
                <xdr:row>9</xdr:row>
                <xdr:rowOff>933450</xdr:rowOff>
              </to>
            </anchor>
          </objectPr>
        </oleObject>
      </mc:Choice>
      <mc:Fallback>
        <oleObject progId="AutoCAD.Drawing.18" shapeId="1161" r:id="rId11"/>
      </mc:Fallback>
    </mc:AlternateContent>
    <mc:AlternateContent xmlns:mc="http://schemas.openxmlformats.org/markup-compatibility/2006">
      <mc:Choice Requires="x14">
        <oleObject progId="AutoCAD.Drawing.18" shapeId="1162" r:id="rId13">
          <objectPr defaultSize="0" autoPict="0" r:id="rId14">
            <anchor moveWithCells="1">
              <from>
                <xdr:col>2</xdr:col>
                <xdr:colOff>9525</xdr:colOff>
                <xdr:row>13</xdr:row>
                <xdr:rowOff>0</xdr:rowOff>
              </from>
              <to>
                <xdr:col>2</xdr:col>
                <xdr:colOff>1209675</xdr:colOff>
                <xdr:row>13</xdr:row>
                <xdr:rowOff>1276350</xdr:rowOff>
              </to>
            </anchor>
          </objectPr>
        </oleObject>
      </mc:Choice>
      <mc:Fallback>
        <oleObject progId="AutoCAD.Drawing.18" shapeId="1162" r:id="rId13"/>
      </mc:Fallback>
    </mc:AlternateContent>
    <mc:AlternateContent xmlns:mc="http://schemas.openxmlformats.org/markup-compatibility/2006">
      <mc:Choice Requires="x14">
        <oleObject progId="AutoCAD.Drawing.18" shapeId="1163" r:id="rId15">
          <objectPr defaultSize="0" autoPict="0" r:id="rId16">
            <anchor moveWithCells="1">
              <from>
                <xdr:col>2</xdr:col>
                <xdr:colOff>9525</xdr:colOff>
                <xdr:row>14</xdr:row>
                <xdr:rowOff>9525</xdr:rowOff>
              </from>
              <to>
                <xdr:col>2</xdr:col>
                <xdr:colOff>1190625</xdr:colOff>
                <xdr:row>14</xdr:row>
                <xdr:rowOff>1247775</xdr:rowOff>
              </to>
            </anchor>
          </objectPr>
        </oleObject>
      </mc:Choice>
      <mc:Fallback>
        <oleObject progId="AutoCAD.Drawing.18" shapeId="1163" r:id="rId15"/>
      </mc:Fallback>
    </mc:AlternateContent>
    <mc:AlternateContent xmlns:mc="http://schemas.openxmlformats.org/markup-compatibility/2006">
      <mc:Choice Requires="x14">
        <oleObject progId="AutoCAD.Drawing.18" shapeId="1164" r:id="rId17">
          <objectPr defaultSize="0" autoPict="0" r:id="rId18">
            <anchor moveWithCells="1">
              <from>
                <xdr:col>2</xdr:col>
                <xdr:colOff>9525</xdr:colOff>
                <xdr:row>15</xdr:row>
                <xdr:rowOff>9525</xdr:rowOff>
              </from>
              <to>
                <xdr:col>2</xdr:col>
                <xdr:colOff>1219200</xdr:colOff>
                <xdr:row>15</xdr:row>
                <xdr:rowOff>1314450</xdr:rowOff>
              </to>
            </anchor>
          </objectPr>
        </oleObject>
      </mc:Choice>
      <mc:Fallback>
        <oleObject progId="AutoCAD.Drawing.18" shapeId="1164" r:id="rId17"/>
      </mc:Fallback>
    </mc:AlternateContent>
    <mc:AlternateContent xmlns:mc="http://schemas.openxmlformats.org/markup-compatibility/2006">
      <mc:Choice Requires="x14">
        <oleObject progId="AutoCAD.Drawing.18" shapeId="1165" r:id="rId19">
          <objectPr defaultSize="0" autoPict="0" r:id="rId20">
            <anchor moveWithCells="1">
              <from>
                <xdr:col>2</xdr:col>
                <xdr:colOff>9525</xdr:colOff>
                <xdr:row>16</xdr:row>
                <xdr:rowOff>9525</xdr:rowOff>
              </from>
              <to>
                <xdr:col>2</xdr:col>
                <xdr:colOff>1209675</xdr:colOff>
                <xdr:row>16</xdr:row>
                <xdr:rowOff>1895475</xdr:rowOff>
              </to>
            </anchor>
          </objectPr>
        </oleObject>
      </mc:Choice>
      <mc:Fallback>
        <oleObject progId="AutoCAD.Drawing.18" shapeId="1165" r:id="rId19"/>
      </mc:Fallback>
    </mc:AlternateContent>
    <mc:AlternateContent xmlns:mc="http://schemas.openxmlformats.org/markup-compatibility/2006">
      <mc:Choice Requires="x14">
        <oleObject progId="AutoCAD.Drawing.18" shapeId="1166" r:id="rId21">
          <objectPr defaultSize="0" autoPict="0" r:id="rId22">
            <anchor moveWithCells="1">
              <from>
                <xdr:col>2</xdr:col>
                <xdr:colOff>9525</xdr:colOff>
                <xdr:row>17</xdr:row>
                <xdr:rowOff>9525</xdr:rowOff>
              </from>
              <to>
                <xdr:col>2</xdr:col>
                <xdr:colOff>1219200</xdr:colOff>
                <xdr:row>17</xdr:row>
                <xdr:rowOff>1876425</xdr:rowOff>
              </to>
            </anchor>
          </objectPr>
        </oleObject>
      </mc:Choice>
      <mc:Fallback>
        <oleObject progId="AutoCAD.Drawing.18" shapeId="1166" r:id="rId21"/>
      </mc:Fallback>
    </mc:AlternateContent>
    <mc:AlternateContent xmlns:mc="http://schemas.openxmlformats.org/markup-compatibility/2006">
      <mc:Choice Requires="x14">
        <oleObject progId="AutoCAD.Drawing.18" shapeId="1167" r:id="rId23">
          <objectPr defaultSize="0" autoPict="0" r:id="rId24">
            <anchor moveWithCells="1">
              <from>
                <xdr:col>2</xdr:col>
                <xdr:colOff>9525</xdr:colOff>
                <xdr:row>20</xdr:row>
                <xdr:rowOff>9525</xdr:rowOff>
              </from>
              <to>
                <xdr:col>2</xdr:col>
                <xdr:colOff>1828800</xdr:colOff>
                <xdr:row>20</xdr:row>
                <xdr:rowOff>1895475</xdr:rowOff>
              </to>
            </anchor>
          </objectPr>
        </oleObject>
      </mc:Choice>
      <mc:Fallback>
        <oleObject progId="AutoCAD.Drawing.18" shapeId="1167" r:id="rId23"/>
      </mc:Fallback>
    </mc:AlternateContent>
    <mc:AlternateContent xmlns:mc="http://schemas.openxmlformats.org/markup-compatibility/2006">
      <mc:Choice Requires="x14">
        <oleObject progId="AutoCAD.Drawing.18" shapeId="1168" r:id="rId25">
          <objectPr defaultSize="0" autoPict="0" r:id="rId26">
            <anchor moveWithCells="1">
              <from>
                <xdr:col>2</xdr:col>
                <xdr:colOff>38100</xdr:colOff>
                <xdr:row>19</xdr:row>
                <xdr:rowOff>57150</xdr:rowOff>
              </from>
              <to>
                <xdr:col>2</xdr:col>
                <xdr:colOff>1762125</xdr:colOff>
                <xdr:row>19</xdr:row>
                <xdr:rowOff>1876425</xdr:rowOff>
              </to>
            </anchor>
          </objectPr>
        </oleObject>
      </mc:Choice>
      <mc:Fallback>
        <oleObject progId="AutoCAD.Drawing.18" shapeId="1168" r:id="rId25"/>
      </mc:Fallback>
    </mc:AlternateContent>
    <mc:AlternateContent xmlns:mc="http://schemas.openxmlformats.org/markup-compatibility/2006">
      <mc:Choice Requires="x14">
        <oleObject progId="AutoCAD.Drawing.18" shapeId="1169" r:id="rId27">
          <objectPr defaultSize="0" autoPict="0" r:id="rId28">
            <anchor moveWithCells="1">
              <from>
                <xdr:col>2</xdr:col>
                <xdr:colOff>38100</xdr:colOff>
                <xdr:row>22</xdr:row>
                <xdr:rowOff>9525</xdr:rowOff>
              </from>
              <to>
                <xdr:col>2</xdr:col>
                <xdr:colOff>2562225</xdr:colOff>
                <xdr:row>22</xdr:row>
                <xdr:rowOff>1695450</xdr:rowOff>
              </to>
            </anchor>
          </objectPr>
        </oleObject>
      </mc:Choice>
      <mc:Fallback>
        <oleObject progId="AutoCAD.Drawing.18" shapeId="1169" r:id="rId27"/>
      </mc:Fallback>
    </mc:AlternateContent>
    <mc:AlternateContent xmlns:mc="http://schemas.openxmlformats.org/markup-compatibility/2006">
      <mc:Choice Requires="x14">
        <oleObject progId="AutoCAD.Drawing.18" shapeId="1170" r:id="rId29">
          <objectPr defaultSize="0" autoPict="0" r:id="rId30">
            <anchor moveWithCells="1">
              <from>
                <xdr:col>2</xdr:col>
                <xdr:colOff>28575</xdr:colOff>
                <xdr:row>24</xdr:row>
                <xdr:rowOff>38100</xdr:rowOff>
              </from>
              <to>
                <xdr:col>2</xdr:col>
                <xdr:colOff>2514600</xdr:colOff>
                <xdr:row>24</xdr:row>
                <xdr:rowOff>1704975</xdr:rowOff>
              </to>
            </anchor>
          </objectPr>
        </oleObject>
      </mc:Choice>
      <mc:Fallback>
        <oleObject progId="AutoCAD.Drawing.18" shapeId="1170" r:id="rId29"/>
      </mc:Fallback>
    </mc:AlternateContent>
    <mc:AlternateContent xmlns:mc="http://schemas.openxmlformats.org/markup-compatibility/2006">
      <mc:Choice Requires="x14">
        <oleObject progId="AutoCAD.Drawing.18" shapeId="1171" r:id="rId31">
          <objectPr defaultSize="0" autoPict="0" r:id="rId32">
            <anchor moveWithCells="1">
              <from>
                <xdr:col>2</xdr:col>
                <xdr:colOff>38100</xdr:colOff>
                <xdr:row>23</xdr:row>
                <xdr:rowOff>38100</xdr:rowOff>
              </from>
              <to>
                <xdr:col>2</xdr:col>
                <xdr:colOff>2543175</xdr:colOff>
                <xdr:row>23</xdr:row>
                <xdr:rowOff>1714500</xdr:rowOff>
              </to>
            </anchor>
          </objectPr>
        </oleObject>
      </mc:Choice>
      <mc:Fallback>
        <oleObject progId="AutoCAD.Drawing.18" shapeId="1171" r:id="rId31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opLeftCell="A16" workbookViewId="0">
      <selection activeCell="G45" sqref="G45"/>
    </sheetView>
  </sheetViews>
  <sheetFormatPr defaultRowHeight="12.75" x14ac:dyDescent="0.2"/>
  <cols>
    <col min="1" max="1" width="15" style="137" bestFit="1" customWidth="1"/>
    <col min="2" max="2" width="15" style="137" customWidth="1"/>
    <col min="3" max="3" width="32.7109375" style="137" bestFit="1" customWidth="1"/>
    <col min="4" max="4" width="6.7109375" style="137" customWidth="1"/>
    <col min="5" max="5" width="8" style="137" customWidth="1"/>
    <col min="6" max="6" width="15" style="137" customWidth="1"/>
    <col min="7" max="7" width="17.42578125" style="137" customWidth="1"/>
    <col min="8" max="9" width="9.140625" style="137"/>
    <col min="10" max="10" width="16.7109375" style="137" customWidth="1"/>
    <col min="11" max="11" width="11.7109375" style="137" customWidth="1"/>
    <col min="12" max="12" width="33.140625" style="137" customWidth="1"/>
    <col min="13" max="13" width="7" style="137" customWidth="1"/>
    <col min="14" max="14" width="4.7109375" style="137" customWidth="1"/>
    <col min="15" max="16384" width="9.140625" style="137"/>
  </cols>
  <sheetData>
    <row r="1" spans="1:16" x14ac:dyDescent="0.2">
      <c r="A1" s="160"/>
      <c r="B1" s="160"/>
      <c r="C1" s="160"/>
      <c r="D1" s="160"/>
      <c r="E1" s="160"/>
      <c r="F1" s="160"/>
      <c r="G1" s="160"/>
      <c r="H1" s="160"/>
      <c r="I1" s="160"/>
    </row>
    <row r="2" spans="1:16" x14ac:dyDescent="0.2">
      <c r="A2" s="160"/>
      <c r="B2" s="160"/>
      <c r="C2" s="160"/>
      <c r="D2" s="160"/>
      <c r="E2" s="160"/>
      <c r="F2" s="160"/>
      <c r="G2" s="160"/>
      <c r="H2" s="160"/>
      <c r="I2" s="160"/>
    </row>
    <row r="3" spans="1:16" x14ac:dyDescent="0.2">
      <c r="A3" s="160"/>
      <c r="B3" s="160"/>
      <c r="C3" s="160"/>
      <c r="D3" s="160"/>
      <c r="E3" s="160"/>
      <c r="F3" s="160"/>
      <c r="G3" s="160"/>
      <c r="H3" s="160"/>
      <c r="I3" s="160"/>
    </row>
    <row r="4" spans="1:16" ht="13.5" thickBot="1" x14ac:dyDescent="0.25">
      <c r="A4" s="160"/>
      <c r="B4" s="160"/>
      <c r="C4" s="160"/>
      <c r="D4" s="160"/>
      <c r="E4" s="160"/>
      <c r="F4" s="160"/>
      <c r="G4" s="160"/>
      <c r="H4" s="160"/>
      <c r="I4" s="160"/>
    </row>
    <row r="5" spans="1:16" ht="26.25" thickBot="1" x14ac:dyDescent="0.25">
      <c r="A5" s="103" t="s">
        <v>107</v>
      </c>
      <c r="B5" s="102" t="s">
        <v>106</v>
      </c>
      <c r="C5" s="103" t="s">
        <v>108</v>
      </c>
      <c r="D5" s="104" t="s">
        <v>109</v>
      </c>
      <c r="E5" s="103" t="s">
        <v>110</v>
      </c>
      <c r="F5" s="105" t="s">
        <v>193</v>
      </c>
      <c r="G5" s="106" t="s">
        <v>194</v>
      </c>
      <c r="H5" s="160"/>
      <c r="I5" s="160"/>
    </row>
    <row r="6" spans="1:16" ht="13.5" thickBot="1" x14ac:dyDescent="0.25">
      <c r="A6" s="355" t="s">
        <v>113</v>
      </c>
      <c r="B6" s="355"/>
      <c r="C6" s="355"/>
      <c r="D6" s="355"/>
      <c r="E6" s="355"/>
      <c r="F6" s="355"/>
      <c r="G6" s="226">
        <f>Спецификация!C112</f>
        <v>0</v>
      </c>
      <c r="H6" s="161"/>
    </row>
    <row r="7" spans="1:16" ht="13.5" thickBot="1" x14ac:dyDescent="0.25">
      <c r="A7" s="354" t="s">
        <v>126</v>
      </c>
      <c r="B7" s="354"/>
      <c r="C7" s="354"/>
      <c r="D7" s="354"/>
      <c r="E7" s="354"/>
      <c r="F7" s="354"/>
      <c r="G7" s="148" t="s">
        <v>137</v>
      </c>
    </row>
    <row r="8" spans="1:16" x14ac:dyDescent="0.2">
      <c r="A8" s="150" t="s">
        <v>187</v>
      </c>
      <c r="B8" s="149">
        <v>521000010</v>
      </c>
      <c r="C8" s="149" t="s">
        <v>195</v>
      </c>
      <c r="D8" s="151" t="s">
        <v>115</v>
      </c>
      <c r="E8" s="151" t="s">
        <v>133</v>
      </c>
      <c r="F8" s="152">
        <v>625.5</v>
      </c>
      <c r="G8" s="152">
        <f>F8*(1-$G$6)</f>
        <v>625.5</v>
      </c>
      <c r="H8" s="246"/>
      <c r="I8" s="246"/>
      <c r="J8" s="207"/>
      <c r="K8" s="208"/>
      <c r="L8" s="208"/>
      <c r="M8" s="208"/>
      <c r="N8" s="208"/>
      <c r="O8" s="208"/>
      <c r="P8" s="208"/>
    </row>
    <row r="9" spans="1:16" ht="18.75" customHeight="1" x14ac:dyDescent="0.2">
      <c r="A9" s="145" t="s">
        <v>188</v>
      </c>
      <c r="B9" s="144">
        <v>524000001</v>
      </c>
      <c r="C9" s="144" t="s">
        <v>196</v>
      </c>
      <c r="D9" s="140" t="s">
        <v>115</v>
      </c>
      <c r="E9" s="147" t="s">
        <v>133</v>
      </c>
      <c r="F9" s="142">
        <v>1227</v>
      </c>
      <c r="G9" s="142">
        <f t="shared" ref="G9:G11" si="0">F9*(1-$G$6)</f>
        <v>1227</v>
      </c>
      <c r="H9" s="246"/>
      <c r="I9" s="246"/>
      <c r="J9" s="209"/>
      <c r="K9" s="210"/>
      <c r="L9" s="210"/>
      <c r="M9" s="211"/>
      <c r="N9" s="211"/>
      <c r="O9" s="212"/>
      <c r="P9" s="213"/>
    </row>
    <row r="10" spans="1:16" ht="18.75" customHeight="1" x14ac:dyDescent="0.2">
      <c r="A10" s="145" t="s">
        <v>189</v>
      </c>
      <c r="B10" s="144">
        <v>521000011</v>
      </c>
      <c r="C10" s="144" t="s">
        <v>197</v>
      </c>
      <c r="D10" s="140" t="s">
        <v>115</v>
      </c>
      <c r="E10" s="147" t="s">
        <v>133</v>
      </c>
      <c r="F10" s="142">
        <v>732</v>
      </c>
      <c r="G10" s="142">
        <f t="shared" si="0"/>
        <v>732</v>
      </c>
      <c r="H10" s="246"/>
      <c r="I10" s="246"/>
      <c r="J10" s="209"/>
      <c r="K10" s="210"/>
      <c r="L10" s="210"/>
      <c r="M10" s="214"/>
      <c r="N10" s="211"/>
      <c r="O10" s="212"/>
      <c r="P10" s="213"/>
    </row>
    <row r="11" spans="1:16" ht="18.75" customHeight="1" thickBot="1" x14ac:dyDescent="0.25">
      <c r="A11" s="164" t="s">
        <v>190</v>
      </c>
      <c r="B11" s="163">
        <v>524000002</v>
      </c>
      <c r="C11" s="163" t="s">
        <v>197</v>
      </c>
      <c r="D11" s="155" t="s">
        <v>115</v>
      </c>
      <c r="E11" s="166" t="s">
        <v>133</v>
      </c>
      <c r="F11" s="157">
        <v>1697.25</v>
      </c>
      <c r="G11" s="157">
        <f t="shared" si="0"/>
        <v>1697.25</v>
      </c>
      <c r="H11" s="246"/>
      <c r="I11" s="246"/>
      <c r="J11" s="209"/>
      <c r="K11" s="210"/>
      <c r="L11" s="210"/>
      <c r="M11" s="214"/>
      <c r="N11" s="211"/>
      <c r="O11" s="212"/>
      <c r="P11" s="213"/>
    </row>
    <row r="12" spans="1:16" ht="13.5" thickBot="1" x14ac:dyDescent="0.25">
      <c r="A12" s="354" t="s">
        <v>136</v>
      </c>
      <c r="B12" s="354"/>
      <c r="C12" s="354"/>
      <c r="D12" s="354"/>
      <c r="E12" s="354"/>
      <c r="F12" s="354"/>
      <c r="G12" s="148" t="s">
        <v>137</v>
      </c>
    </row>
    <row r="13" spans="1:16" x14ac:dyDescent="0.2">
      <c r="A13" s="150" t="s">
        <v>49</v>
      </c>
      <c r="B13" s="149">
        <v>415001600</v>
      </c>
      <c r="C13" s="149" t="s">
        <v>138</v>
      </c>
      <c r="D13" s="140" t="s">
        <v>115</v>
      </c>
      <c r="E13" s="141" t="s">
        <v>116</v>
      </c>
      <c r="F13" s="152">
        <v>2892.75</v>
      </c>
      <c r="G13" s="242">
        <f>F13*(1-$G$6)</f>
        <v>2892.75</v>
      </c>
    </row>
    <row r="14" spans="1:16" x14ac:dyDescent="0.2">
      <c r="A14" s="145" t="s">
        <v>48</v>
      </c>
      <c r="B14" s="144">
        <v>415001500</v>
      </c>
      <c r="C14" s="144" t="s">
        <v>140</v>
      </c>
      <c r="D14" s="140" t="s">
        <v>115</v>
      </c>
      <c r="E14" s="141" t="s">
        <v>116</v>
      </c>
      <c r="F14" s="142">
        <v>2814.75</v>
      </c>
      <c r="G14" s="243">
        <f>F14*(1-$G$6)</f>
        <v>2814.75</v>
      </c>
    </row>
    <row r="15" spans="1:16" x14ac:dyDescent="0.2">
      <c r="A15" s="145" t="s">
        <v>47</v>
      </c>
      <c r="B15" s="144">
        <v>415001400</v>
      </c>
      <c r="C15" s="144" t="s">
        <v>141</v>
      </c>
      <c r="D15" s="140" t="s">
        <v>115</v>
      </c>
      <c r="E15" s="141" t="s">
        <v>116</v>
      </c>
      <c r="F15" s="142">
        <v>2601</v>
      </c>
      <c r="G15" s="243">
        <f t="shared" ref="G15:G40" si="1">F15*(1-$G$6)</f>
        <v>2601</v>
      </c>
    </row>
    <row r="16" spans="1:16" x14ac:dyDescent="0.2">
      <c r="A16" s="145" t="s">
        <v>46</v>
      </c>
      <c r="B16" s="144">
        <v>415000500</v>
      </c>
      <c r="C16" s="144" t="s">
        <v>138</v>
      </c>
      <c r="D16" s="140" t="s">
        <v>115</v>
      </c>
      <c r="E16" s="141" t="s">
        <v>116</v>
      </c>
      <c r="F16" s="142">
        <v>1527</v>
      </c>
      <c r="G16" s="243">
        <f t="shared" si="1"/>
        <v>1527</v>
      </c>
    </row>
    <row r="17" spans="1:7" x14ac:dyDescent="0.2">
      <c r="A17" s="145" t="s">
        <v>45</v>
      </c>
      <c r="B17" s="144">
        <v>415000400</v>
      </c>
      <c r="C17" s="144" t="s">
        <v>140</v>
      </c>
      <c r="D17" s="140" t="s">
        <v>115</v>
      </c>
      <c r="E17" s="141" t="s">
        <v>116</v>
      </c>
      <c r="F17" s="142">
        <v>1352.25</v>
      </c>
      <c r="G17" s="243">
        <f t="shared" si="1"/>
        <v>1352.25</v>
      </c>
    </row>
    <row r="18" spans="1:7" x14ac:dyDescent="0.2">
      <c r="A18" s="145" t="s">
        <v>44</v>
      </c>
      <c r="B18" s="144">
        <v>415000300</v>
      </c>
      <c r="C18" s="144" t="s">
        <v>141</v>
      </c>
      <c r="D18" s="140" t="s">
        <v>115</v>
      </c>
      <c r="E18" s="141" t="s">
        <v>116</v>
      </c>
      <c r="F18" s="142">
        <v>1323.75</v>
      </c>
      <c r="G18" s="243">
        <f t="shared" si="1"/>
        <v>1323.75</v>
      </c>
    </row>
    <row r="19" spans="1:7" x14ac:dyDescent="0.2">
      <c r="A19" s="139" t="s">
        <v>98</v>
      </c>
      <c r="B19" s="138">
        <v>415002900</v>
      </c>
      <c r="C19" s="138" t="s">
        <v>52</v>
      </c>
      <c r="D19" s="140" t="s">
        <v>115</v>
      </c>
      <c r="E19" s="141" t="s">
        <v>116</v>
      </c>
      <c r="F19" s="142">
        <v>488.25</v>
      </c>
      <c r="G19" s="116">
        <f t="shared" si="1"/>
        <v>488.25</v>
      </c>
    </row>
    <row r="20" spans="1:7" x14ac:dyDescent="0.2">
      <c r="A20" s="139" t="s">
        <v>96</v>
      </c>
      <c r="B20" s="138">
        <v>415002700</v>
      </c>
      <c r="C20" s="138" t="s">
        <v>52</v>
      </c>
      <c r="D20" s="140" t="s">
        <v>115</v>
      </c>
      <c r="E20" s="141" t="s">
        <v>116</v>
      </c>
      <c r="F20" s="142">
        <v>312.75</v>
      </c>
      <c r="G20" s="116">
        <f t="shared" si="1"/>
        <v>312.75</v>
      </c>
    </row>
    <row r="21" spans="1:7" x14ac:dyDescent="0.2">
      <c r="A21" s="139" t="s">
        <v>99</v>
      </c>
      <c r="B21" s="138">
        <v>415003000</v>
      </c>
      <c r="C21" s="138" t="s">
        <v>53</v>
      </c>
      <c r="D21" s="140" t="s">
        <v>115</v>
      </c>
      <c r="E21" s="141" t="s">
        <v>116</v>
      </c>
      <c r="F21" s="142">
        <v>278.25</v>
      </c>
      <c r="G21" s="116">
        <f t="shared" si="1"/>
        <v>278.25</v>
      </c>
    </row>
    <row r="22" spans="1:7" x14ac:dyDescent="0.2">
      <c r="A22" s="139" t="s">
        <v>97</v>
      </c>
      <c r="B22" s="138">
        <v>415002800</v>
      </c>
      <c r="C22" s="138" t="s">
        <v>53</v>
      </c>
      <c r="D22" s="140" t="s">
        <v>115</v>
      </c>
      <c r="E22" s="141" t="s">
        <v>116</v>
      </c>
      <c r="F22" s="142">
        <v>217.5</v>
      </c>
      <c r="G22" s="116">
        <f t="shared" si="1"/>
        <v>217.5</v>
      </c>
    </row>
    <row r="23" spans="1:7" x14ac:dyDescent="0.2">
      <c r="A23" s="139" t="s">
        <v>64</v>
      </c>
      <c r="B23" s="138">
        <v>415002100</v>
      </c>
      <c r="C23" s="138" t="s">
        <v>55</v>
      </c>
      <c r="D23" s="140" t="s">
        <v>115</v>
      </c>
      <c r="E23" s="141" t="s">
        <v>116</v>
      </c>
      <c r="F23" s="142">
        <v>92.25</v>
      </c>
      <c r="G23" s="116">
        <f t="shared" si="1"/>
        <v>92.25</v>
      </c>
    </row>
    <row r="24" spans="1:7" x14ac:dyDescent="0.2">
      <c r="A24" s="139" t="s">
        <v>61</v>
      </c>
      <c r="B24" s="138">
        <v>415001000</v>
      </c>
      <c r="C24" s="138" t="s">
        <v>55</v>
      </c>
      <c r="D24" s="140" t="s">
        <v>115</v>
      </c>
      <c r="E24" s="141" t="s">
        <v>116</v>
      </c>
      <c r="F24" s="142">
        <v>58.5</v>
      </c>
      <c r="G24" s="116">
        <f t="shared" si="1"/>
        <v>58.5</v>
      </c>
    </row>
    <row r="25" spans="1:7" x14ac:dyDescent="0.2">
      <c r="A25" s="139" t="s">
        <v>25</v>
      </c>
      <c r="B25" s="138">
        <v>415001200</v>
      </c>
      <c r="C25" s="138" t="s">
        <v>56</v>
      </c>
      <c r="D25" s="140" t="s">
        <v>115</v>
      </c>
      <c r="E25" s="141" t="s">
        <v>116</v>
      </c>
      <c r="F25" s="142">
        <v>104.25</v>
      </c>
      <c r="G25" s="116">
        <f t="shared" si="1"/>
        <v>104.25</v>
      </c>
    </row>
    <row r="26" spans="1:7" x14ac:dyDescent="0.2">
      <c r="A26" s="139" t="s">
        <v>24</v>
      </c>
      <c r="B26" s="138">
        <v>415001100</v>
      </c>
      <c r="C26" s="138" t="s">
        <v>56</v>
      </c>
      <c r="D26" s="140" t="s">
        <v>115</v>
      </c>
      <c r="E26" s="141" t="s">
        <v>116</v>
      </c>
      <c r="F26" s="142">
        <v>195.75</v>
      </c>
      <c r="G26" s="116">
        <f t="shared" si="1"/>
        <v>195.75</v>
      </c>
    </row>
    <row r="27" spans="1:7" x14ac:dyDescent="0.2">
      <c r="A27" s="139" t="s">
        <v>26</v>
      </c>
      <c r="B27" s="138">
        <v>415001300</v>
      </c>
      <c r="C27" s="138" t="s">
        <v>56</v>
      </c>
      <c r="D27" s="140" t="s">
        <v>115</v>
      </c>
      <c r="E27" s="141" t="s">
        <v>116</v>
      </c>
      <c r="F27" s="142">
        <v>332.25</v>
      </c>
      <c r="G27" s="116">
        <f t="shared" si="1"/>
        <v>332.25</v>
      </c>
    </row>
    <row r="28" spans="1:7" x14ac:dyDescent="0.2">
      <c r="A28" s="139" t="s">
        <v>28</v>
      </c>
      <c r="B28" s="138">
        <v>415002300</v>
      </c>
      <c r="C28" s="138" t="s">
        <v>56</v>
      </c>
      <c r="D28" s="140" t="s">
        <v>115</v>
      </c>
      <c r="E28" s="141" t="s">
        <v>116</v>
      </c>
      <c r="F28" s="142">
        <v>137.25</v>
      </c>
      <c r="G28" s="116">
        <f t="shared" si="1"/>
        <v>137.25</v>
      </c>
    </row>
    <row r="29" spans="1:7" x14ac:dyDescent="0.2">
      <c r="A29" s="139" t="s">
        <v>27</v>
      </c>
      <c r="B29" s="138">
        <v>415002200</v>
      </c>
      <c r="C29" s="138" t="s">
        <v>56</v>
      </c>
      <c r="D29" s="140" t="s">
        <v>115</v>
      </c>
      <c r="E29" s="141" t="s">
        <v>116</v>
      </c>
      <c r="F29" s="142">
        <v>252.75</v>
      </c>
      <c r="G29" s="116">
        <f t="shared" si="1"/>
        <v>252.75</v>
      </c>
    </row>
    <row r="30" spans="1:7" x14ac:dyDescent="0.2">
      <c r="A30" s="139" t="s">
        <v>29</v>
      </c>
      <c r="B30" s="138">
        <v>415002400</v>
      </c>
      <c r="C30" s="138" t="s">
        <v>56</v>
      </c>
      <c r="D30" s="140" t="s">
        <v>115</v>
      </c>
      <c r="E30" s="141" t="s">
        <v>116</v>
      </c>
      <c r="F30" s="142">
        <v>429.75</v>
      </c>
      <c r="G30" s="116">
        <f t="shared" si="1"/>
        <v>429.75</v>
      </c>
    </row>
    <row r="31" spans="1:7" x14ac:dyDescent="0.2">
      <c r="A31" s="139" t="s">
        <v>142</v>
      </c>
      <c r="B31" s="138">
        <v>415003100</v>
      </c>
      <c r="C31" s="138" t="s">
        <v>56</v>
      </c>
      <c r="D31" s="140" t="s">
        <v>115</v>
      </c>
      <c r="E31" s="141" t="s">
        <v>116</v>
      </c>
      <c r="F31" s="142">
        <v>293.25</v>
      </c>
      <c r="G31" s="116">
        <f t="shared" si="1"/>
        <v>293.25</v>
      </c>
    </row>
    <row r="32" spans="1:7" x14ac:dyDescent="0.2">
      <c r="A32" s="139" t="s">
        <v>143</v>
      </c>
      <c r="B32" s="138">
        <v>415003200</v>
      </c>
      <c r="C32" s="138" t="s">
        <v>56</v>
      </c>
      <c r="D32" s="140" t="s">
        <v>115</v>
      </c>
      <c r="E32" s="141" t="s">
        <v>116</v>
      </c>
      <c r="F32" s="142">
        <v>171</v>
      </c>
      <c r="G32" s="116">
        <f t="shared" si="1"/>
        <v>171</v>
      </c>
    </row>
    <row r="33" spans="1:9" x14ac:dyDescent="0.2">
      <c r="A33" s="139" t="s">
        <v>95</v>
      </c>
      <c r="B33" s="138">
        <v>415002600</v>
      </c>
      <c r="C33" s="138" t="s">
        <v>42</v>
      </c>
      <c r="D33" s="140" t="s">
        <v>115</v>
      </c>
      <c r="E33" s="141" t="s">
        <v>116</v>
      </c>
      <c r="F33" s="142">
        <v>83.25</v>
      </c>
      <c r="G33" s="116">
        <f t="shared" si="1"/>
        <v>83.25</v>
      </c>
    </row>
    <row r="34" spans="1:9" x14ac:dyDescent="0.2">
      <c r="A34" s="139" t="s">
        <v>58</v>
      </c>
      <c r="B34" s="138">
        <v>415000100</v>
      </c>
      <c r="C34" s="138" t="s">
        <v>123</v>
      </c>
      <c r="D34" s="140" t="s">
        <v>115</v>
      </c>
      <c r="E34" s="141" t="s">
        <v>116</v>
      </c>
      <c r="F34" s="142">
        <v>265.5</v>
      </c>
      <c r="G34" s="116">
        <f t="shared" si="1"/>
        <v>265.5</v>
      </c>
    </row>
    <row r="35" spans="1:9" x14ac:dyDescent="0.2">
      <c r="A35" s="139" t="s">
        <v>59</v>
      </c>
      <c r="B35" s="138">
        <v>415000600</v>
      </c>
      <c r="C35" s="138" t="s">
        <v>51</v>
      </c>
      <c r="D35" s="140" t="s">
        <v>115</v>
      </c>
      <c r="E35" s="141" t="s">
        <v>116</v>
      </c>
      <c r="F35" s="142">
        <v>502.5</v>
      </c>
      <c r="G35" s="116">
        <f t="shared" si="1"/>
        <v>502.5</v>
      </c>
    </row>
    <row r="36" spans="1:9" x14ac:dyDescent="0.2">
      <c r="A36" s="139" t="s">
        <v>62</v>
      </c>
      <c r="B36" s="138">
        <v>415001700</v>
      </c>
      <c r="C36" s="138" t="s">
        <v>51</v>
      </c>
      <c r="D36" s="140" t="s">
        <v>115</v>
      </c>
      <c r="E36" s="141" t="s">
        <v>116</v>
      </c>
      <c r="F36" s="142">
        <v>758.25</v>
      </c>
      <c r="G36" s="116">
        <f t="shared" si="1"/>
        <v>758.25</v>
      </c>
    </row>
    <row r="37" spans="1:9" x14ac:dyDescent="0.2">
      <c r="A37" s="145" t="s">
        <v>60</v>
      </c>
      <c r="B37" s="144">
        <v>415000900</v>
      </c>
      <c r="C37" s="144" t="s">
        <v>144</v>
      </c>
      <c r="D37" s="140" t="s">
        <v>115</v>
      </c>
      <c r="E37" s="141" t="s">
        <v>116</v>
      </c>
      <c r="F37" s="142">
        <v>53.25</v>
      </c>
      <c r="G37" s="243">
        <f t="shared" si="1"/>
        <v>53.25</v>
      </c>
    </row>
    <row r="38" spans="1:9" x14ac:dyDescent="0.2">
      <c r="A38" s="187" t="s">
        <v>63</v>
      </c>
      <c r="B38" s="186">
        <v>415002000</v>
      </c>
      <c r="C38" s="186" t="s">
        <v>144</v>
      </c>
      <c r="D38" s="188" t="s">
        <v>115</v>
      </c>
      <c r="E38" s="189" t="s">
        <v>116</v>
      </c>
      <c r="F38" s="190">
        <v>67.5</v>
      </c>
      <c r="G38" s="244">
        <f t="shared" si="1"/>
        <v>67.5</v>
      </c>
    </row>
    <row r="39" spans="1:9" x14ac:dyDescent="0.2">
      <c r="A39" s="139" t="s">
        <v>203</v>
      </c>
      <c r="B39" s="138">
        <v>415004100</v>
      </c>
      <c r="C39" s="138" t="s">
        <v>204</v>
      </c>
      <c r="D39" s="140" t="s">
        <v>115</v>
      </c>
      <c r="E39" s="141" t="s">
        <v>116</v>
      </c>
      <c r="F39" s="142">
        <v>111</v>
      </c>
      <c r="G39" s="116">
        <f t="shared" si="1"/>
        <v>111</v>
      </c>
      <c r="H39" s="246"/>
      <c r="I39" s="246"/>
    </row>
    <row r="40" spans="1:9" x14ac:dyDescent="0.2">
      <c r="A40" s="139" t="s">
        <v>205</v>
      </c>
      <c r="B40" s="138">
        <v>402480300</v>
      </c>
      <c r="C40" s="138" t="s">
        <v>206</v>
      </c>
      <c r="D40" s="140" t="s">
        <v>115</v>
      </c>
      <c r="E40" s="141" t="s">
        <v>133</v>
      </c>
      <c r="F40" s="142">
        <v>138.75</v>
      </c>
      <c r="G40" s="116">
        <f t="shared" si="1"/>
        <v>138.75</v>
      </c>
      <c r="H40" s="246"/>
      <c r="I40" s="246"/>
    </row>
    <row r="41" spans="1:9" x14ac:dyDescent="0.2">
      <c r="A41" s="139"/>
      <c r="B41" s="138"/>
      <c r="C41" s="138"/>
      <c r="D41" s="140"/>
      <c r="E41" s="141"/>
      <c r="F41" s="142"/>
      <c r="G41" s="143"/>
    </row>
    <row r="42" spans="1:9" x14ac:dyDescent="0.2">
      <c r="A42" s="139"/>
      <c r="B42" s="138"/>
      <c r="C42" s="138"/>
      <c r="D42" s="140"/>
      <c r="E42" s="141"/>
      <c r="F42" s="142"/>
      <c r="G42" s="143"/>
    </row>
    <row r="43" spans="1:9" ht="13.5" thickBot="1" x14ac:dyDescent="0.25">
      <c r="A43" s="154"/>
      <c r="B43" s="153"/>
      <c r="C43" s="153"/>
      <c r="D43" s="155"/>
      <c r="E43" s="156"/>
      <c r="F43" s="157"/>
      <c r="G43" s="158"/>
    </row>
    <row r="44" spans="1:9" ht="13.5" thickBot="1" x14ac:dyDescent="0.25">
      <c r="A44" s="354" t="s">
        <v>217</v>
      </c>
      <c r="B44" s="354"/>
      <c r="C44" s="354"/>
      <c r="D44" s="354"/>
      <c r="E44" s="354"/>
      <c r="F44" s="354"/>
      <c r="G44" s="226">
        <f>Спецификация!C116</f>
        <v>0</v>
      </c>
    </row>
    <row r="45" spans="1:9" x14ac:dyDescent="0.2">
      <c r="A45" s="150" t="s">
        <v>159</v>
      </c>
      <c r="B45" s="149">
        <v>412911500</v>
      </c>
      <c r="C45" s="149" t="s">
        <v>56</v>
      </c>
      <c r="D45" s="198"/>
      <c r="E45" s="141" t="s">
        <v>116</v>
      </c>
      <c r="F45" s="191">
        <v>156.75</v>
      </c>
      <c r="G45" s="162">
        <f t="shared" ref="G45:G56" si="2">F45*(1-$G$44)</f>
        <v>156.75</v>
      </c>
    </row>
    <row r="46" spans="1:9" x14ac:dyDescent="0.2">
      <c r="A46" s="193" t="s">
        <v>145</v>
      </c>
      <c r="B46" s="194">
        <v>412910200</v>
      </c>
      <c r="C46" s="194" t="s">
        <v>56</v>
      </c>
      <c r="D46" s="195"/>
      <c r="E46" s="196" t="s">
        <v>116</v>
      </c>
      <c r="F46" s="197">
        <v>299.25</v>
      </c>
      <c r="G46" s="116">
        <f t="shared" si="2"/>
        <v>299.25</v>
      </c>
    </row>
    <row r="47" spans="1:9" x14ac:dyDescent="0.2">
      <c r="A47" s="145" t="s">
        <v>69</v>
      </c>
      <c r="B47" s="144">
        <v>407410300</v>
      </c>
      <c r="C47" s="144" t="s">
        <v>68</v>
      </c>
      <c r="D47" s="146"/>
      <c r="E47" s="147" t="s">
        <v>116</v>
      </c>
      <c r="F47" s="192">
        <v>129.75</v>
      </c>
      <c r="G47" s="142">
        <f t="shared" si="2"/>
        <v>129.75</v>
      </c>
    </row>
    <row r="48" spans="1:9" x14ac:dyDescent="0.2">
      <c r="A48" s="145" t="s">
        <v>67</v>
      </c>
      <c r="B48" s="144">
        <v>4007403</v>
      </c>
      <c r="C48" s="144" t="s">
        <v>191</v>
      </c>
      <c r="D48" s="146"/>
      <c r="E48" s="147" t="s">
        <v>116</v>
      </c>
      <c r="F48" s="192">
        <v>428</v>
      </c>
      <c r="G48" s="142">
        <f t="shared" si="2"/>
        <v>428</v>
      </c>
    </row>
    <row r="49" spans="1:9" x14ac:dyDescent="0.2">
      <c r="A49" s="145" t="s">
        <v>66</v>
      </c>
      <c r="B49" s="144">
        <v>417200008</v>
      </c>
      <c r="C49" s="144" t="s">
        <v>192</v>
      </c>
      <c r="D49" s="146"/>
      <c r="E49" s="147" t="s">
        <v>116</v>
      </c>
      <c r="F49" s="192">
        <v>466.5</v>
      </c>
      <c r="G49" s="142">
        <f t="shared" si="2"/>
        <v>466.5</v>
      </c>
    </row>
    <row r="50" spans="1:9" x14ac:dyDescent="0.2">
      <c r="A50" s="145" t="s">
        <v>74</v>
      </c>
      <c r="B50" s="144">
        <v>418100300</v>
      </c>
      <c r="C50" s="144" t="s">
        <v>70</v>
      </c>
      <c r="D50" s="146"/>
      <c r="E50" s="147" t="s">
        <v>116</v>
      </c>
      <c r="F50" s="192">
        <v>12.75</v>
      </c>
      <c r="G50" s="142">
        <f t="shared" si="2"/>
        <v>12.75</v>
      </c>
    </row>
    <row r="51" spans="1:9" x14ac:dyDescent="0.2">
      <c r="A51" s="145" t="s">
        <v>75</v>
      </c>
      <c r="B51" s="144">
        <v>418100400</v>
      </c>
      <c r="C51" s="144" t="s">
        <v>70</v>
      </c>
      <c r="D51" s="146"/>
      <c r="E51" s="147" t="s">
        <v>116</v>
      </c>
      <c r="F51" s="192">
        <v>52.5</v>
      </c>
      <c r="G51" s="142">
        <f t="shared" si="2"/>
        <v>52.5</v>
      </c>
    </row>
    <row r="52" spans="1:9" x14ac:dyDescent="0.2">
      <c r="A52" s="145" t="s">
        <v>76</v>
      </c>
      <c r="B52" s="144">
        <v>418400300</v>
      </c>
      <c r="C52" s="144" t="s">
        <v>71</v>
      </c>
      <c r="D52" s="146"/>
      <c r="E52" s="147" t="s">
        <v>116</v>
      </c>
      <c r="F52" s="192">
        <v>3.75</v>
      </c>
      <c r="G52" s="142">
        <f t="shared" si="2"/>
        <v>3.75</v>
      </c>
    </row>
    <row r="53" spans="1:9" x14ac:dyDescent="0.2">
      <c r="A53" s="145" t="s">
        <v>77</v>
      </c>
      <c r="B53" s="144">
        <v>408020200</v>
      </c>
      <c r="C53" s="144" t="s">
        <v>71</v>
      </c>
      <c r="D53" s="146"/>
      <c r="E53" s="147" t="s">
        <v>116</v>
      </c>
      <c r="F53" s="192">
        <v>7.5</v>
      </c>
      <c r="G53" s="142">
        <f t="shared" si="2"/>
        <v>7.5</v>
      </c>
    </row>
    <row r="54" spans="1:9" x14ac:dyDescent="0.2">
      <c r="A54" s="145" t="s">
        <v>78</v>
      </c>
      <c r="B54" s="144">
        <v>418600100</v>
      </c>
      <c r="C54" s="144" t="s">
        <v>72</v>
      </c>
      <c r="D54" s="146"/>
      <c r="E54" s="147" t="s">
        <v>116</v>
      </c>
      <c r="F54" s="192">
        <v>3.75</v>
      </c>
      <c r="G54" s="142">
        <f t="shared" si="2"/>
        <v>3.75</v>
      </c>
    </row>
    <row r="55" spans="1:9" x14ac:dyDescent="0.2">
      <c r="A55" s="145" t="s">
        <v>79</v>
      </c>
      <c r="B55" s="144">
        <v>418600500</v>
      </c>
      <c r="C55" s="144" t="s">
        <v>72</v>
      </c>
      <c r="D55" s="146"/>
      <c r="E55" s="147" t="s">
        <v>116</v>
      </c>
      <c r="F55" s="142">
        <v>7.5</v>
      </c>
      <c r="G55" s="142">
        <f t="shared" si="2"/>
        <v>7.5</v>
      </c>
    </row>
    <row r="56" spans="1:9" ht="13.5" thickBot="1" x14ac:dyDescent="0.25">
      <c r="A56" s="225" t="s">
        <v>80</v>
      </c>
      <c r="B56" s="153">
        <v>418300100</v>
      </c>
      <c r="C56" s="225" t="s">
        <v>73</v>
      </c>
      <c r="D56" s="165"/>
      <c r="E56" s="166" t="s">
        <v>116</v>
      </c>
      <c r="F56" s="245">
        <v>5.25</v>
      </c>
      <c r="G56" s="158">
        <f t="shared" si="2"/>
        <v>5.25</v>
      </c>
      <c r="H56" s="246"/>
      <c r="I56" s="246"/>
    </row>
    <row r="92" spans="1:9" x14ac:dyDescent="0.2">
      <c r="A92" s="159"/>
      <c r="B92" s="159"/>
      <c r="C92" s="159"/>
      <c r="D92" s="159"/>
      <c r="E92" s="159"/>
      <c r="F92" s="159"/>
      <c r="G92" s="159"/>
      <c r="H92" s="159"/>
      <c r="I92" s="159"/>
    </row>
  </sheetData>
  <protectedRanges>
    <protectedRange sqref="N9:O11 E8:F11 C8:C11 L9:L11" name="Диапазон1"/>
  </protectedRanges>
  <mergeCells count="4">
    <mergeCell ref="A44:F44"/>
    <mergeCell ref="A6:F6"/>
    <mergeCell ref="A7:F7"/>
    <mergeCell ref="A12:F12"/>
  </mergeCells>
  <conditionalFormatting sqref="B9">
    <cfRule type="duplicateValues" dxfId="57" priority="180"/>
  </conditionalFormatting>
  <conditionalFormatting sqref="B13:B24">
    <cfRule type="duplicateValues" dxfId="56" priority="178"/>
  </conditionalFormatting>
  <conditionalFormatting sqref="B25:B37">
    <cfRule type="duplicateValues" dxfId="55" priority="170"/>
  </conditionalFormatting>
  <conditionalFormatting sqref="B8">
    <cfRule type="duplicateValues" dxfId="54" priority="158"/>
  </conditionalFormatting>
  <conditionalFormatting sqref="B5">
    <cfRule type="duplicateValues" dxfId="53" priority="157"/>
  </conditionalFormatting>
  <conditionalFormatting sqref="B13:B25">
    <cfRule type="duplicateValues" dxfId="52" priority="124"/>
  </conditionalFormatting>
  <conditionalFormatting sqref="B26:B43">
    <cfRule type="duplicateValues" dxfId="51" priority="116"/>
  </conditionalFormatting>
  <conditionalFormatting sqref="B46:B50">
    <cfRule type="duplicateValues" dxfId="50" priority="80"/>
  </conditionalFormatting>
  <conditionalFormatting sqref="B51:B55">
    <cfRule type="duplicateValues" dxfId="49" priority="62"/>
  </conditionalFormatting>
  <conditionalFormatting sqref="B13:B24 B8:B11">
    <cfRule type="duplicateValues" dxfId="48" priority="192"/>
  </conditionalFormatting>
  <conditionalFormatting sqref="B13:B25 B8:B11">
    <cfRule type="duplicateValues" dxfId="47" priority="228"/>
  </conditionalFormatting>
  <conditionalFormatting sqref="B45">
    <cfRule type="duplicateValues" dxfId="46" priority="42"/>
  </conditionalFormatting>
  <conditionalFormatting sqref="K9">
    <cfRule type="duplicateValues" dxfId="45" priority="39"/>
  </conditionalFormatting>
  <conditionalFormatting sqref="M9">
    <cfRule type="duplicateValues" dxfId="44" priority="31"/>
  </conditionalFormatting>
  <conditionalFormatting sqref="K10">
    <cfRule type="duplicateValues" dxfId="43" priority="27"/>
  </conditionalFormatting>
  <conditionalFormatting sqref="K11">
    <cfRule type="duplicateValues" dxfId="42" priority="23"/>
  </conditionalFormatting>
  <conditionalFormatting sqref="B8">
    <cfRule type="duplicateValues" dxfId="41" priority="21"/>
  </conditionalFormatting>
  <conditionalFormatting sqref="B11">
    <cfRule type="duplicateValues" dxfId="40" priority="17"/>
  </conditionalFormatting>
  <conditionalFormatting sqref="D8">
    <cfRule type="duplicateValues" dxfId="39" priority="13"/>
  </conditionalFormatting>
  <conditionalFormatting sqref="B10">
    <cfRule type="duplicateValues" dxfId="38" priority="5"/>
  </conditionalFormatting>
  <conditionalFormatting sqref="B10:B11">
    <cfRule type="duplicateValues" dxfId="37" priority="233"/>
  </conditionalFormatting>
  <conditionalFormatting sqref="B8:B11">
    <cfRule type="duplicateValues" dxfId="36" priority="234"/>
  </conditionalFormatting>
  <conditionalFormatting sqref="B56">
    <cfRule type="duplicateValues" dxfId="35" priority="1"/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view="pageBreakPreview" zoomScaleNormal="100" zoomScaleSheetLayoutView="100" workbookViewId="0">
      <selection activeCell="D7" sqref="D7"/>
    </sheetView>
  </sheetViews>
  <sheetFormatPr defaultRowHeight="12.75" x14ac:dyDescent="0.2"/>
  <cols>
    <col min="1" max="1" width="13" customWidth="1"/>
    <col min="2" max="2" width="47.5703125" customWidth="1"/>
    <col min="3" max="3" width="5.28515625" customWidth="1"/>
    <col min="4" max="4" width="10.7109375" customWidth="1"/>
  </cols>
  <sheetData>
    <row r="1" spans="1:4" ht="15.75" x14ac:dyDescent="0.25">
      <c r="A1" s="358" t="s">
        <v>227</v>
      </c>
      <c r="B1" s="359"/>
      <c r="C1" s="359"/>
      <c r="D1" s="360"/>
    </row>
    <row r="2" spans="1:4" ht="18" x14ac:dyDescent="0.2">
      <c r="A2" s="361" t="s">
        <v>107</v>
      </c>
      <c r="B2" s="361" t="s">
        <v>108</v>
      </c>
      <c r="C2" s="361" t="s">
        <v>110</v>
      </c>
      <c r="D2" s="250" t="s">
        <v>223</v>
      </c>
    </row>
    <row r="3" spans="1:4" x14ac:dyDescent="0.2">
      <c r="A3" s="362"/>
      <c r="B3" s="363" t="s">
        <v>162</v>
      </c>
      <c r="C3" s="364"/>
      <c r="D3" s="251"/>
    </row>
    <row r="4" spans="1:4" x14ac:dyDescent="0.2">
      <c r="A4" s="365" t="s">
        <v>187</v>
      </c>
      <c r="B4" s="366" t="s">
        <v>163</v>
      </c>
      <c r="C4" s="367" t="s">
        <v>164</v>
      </c>
      <c r="D4" s="357" t="s">
        <v>224</v>
      </c>
    </row>
    <row r="5" spans="1:4" x14ac:dyDescent="0.2">
      <c r="A5" s="365" t="s">
        <v>188</v>
      </c>
      <c r="B5" s="366" t="s">
        <v>165</v>
      </c>
      <c r="C5" s="367" t="s">
        <v>164</v>
      </c>
      <c r="D5" s="357" t="s">
        <v>225</v>
      </c>
    </row>
    <row r="6" spans="1:4" x14ac:dyDescent="0.2">
      <c r="A6" s="368"/>
      <c r="B6" s="369" t="s">
        <v>166</v>
      </c>
      <c r="C6" s="370"/>
      <c r="D6" s="371"/>
    </row>
    <row r="7" spans="1:4" x14ac:dyDescent="0.2">
      <c r="A7" s="365" t="s">
        <v>189</v>
      </c>
      <c r="B7" s="366" t="s">
        <v>167</v>
      </c>
      <c r="C7" s="367" t="s">
        <v>164</v>
      </c>
      <c r="D7" s="357" t="s">
        <v>224</v>
      </c>
    </row>
    <row r="8" spans="1:4" x14ac:dyDescent="0.2">
      <c r="A8" s="372" t="s">
        <v>190</v>
      </c>
      <c r="B8" s="366" t="s">
        <v>167</v>
      </c>
      <c r="C8" s="373" t="s">
        <v>164</v>
      </c>
      <c r="D8" s="374" t="s">
        <v>226</v>
      </c>
    </row>
    <row r="9" spans="1:4" ht="18" x14ac:dyDescent="0.2">
      <c r="A9" s="375" t="s">
        <v>168</v>
      </c>
      <c r="B9" s="376"/>
      <c r="C9" s="377"/>
      <c r="D9" s="247" t="s">
        <v>222</v>
      </c>
    </row>
    <row r="10" spans="1:4" x14ac:dyDescent="0.2">
      <c r="A10" s="378" t="s">
        <v>46</v>
      </c>
      <c r="B10" s="366" t="s">
        <v>169</v>
      </c>
      <c r="C10" s="379" t="s">
        <v>116</v>
      </c>
      <c r="D10" s="248">
        <v>2</v>
      </c>
    </row>
    <row r="11" spans="1:4" x14ac:dyDescent="0.2">
      <c r="A11" s="365" t="s">
        <v>61</v>
      </c>
      <c r="B11" s="366" t="s">
        <v>170</v>
      </c>
      <c r="C11" s="379" t="s">
        <v>116</v>
      </c>
      <c r="D11" s="248">
        <v>1</v>
      </c>
    </row>
    <row r="12" spans="1:4" x14ac:dyDescent="0.2">
      <c r="A12" s="365" t="s">
        <v>96</v>
      </c>
      <c r="B12" s="366" t="s">
        <v>52</v>
      </c>
      <c r="C12" s="379" t="s">
        <v>116</v>
      </c>
      <c r="D12" s="248">
        <v>1</v>
      </c>
    </row>
    <row r="13" spans="1:4" x14ac:dyDescent="0.2">
      <c r="A13" s="365" t="s">
        <v>97</v>
      </c>
      <c r="B13" s="366" t="s">
        <v>53</v>
      </c>
      <c r="C13" s="379" t="s">
        <v>116</v>
      </c>
      <c r="D13" s="248">
        <v>1</v>
      </c>
    </row>
    <row r="14" spans="1:4" x14ac:dyDescent="0.2">
      <c r="A14" s="365" t="s">
        <v>58</v>
      </c>
      <c r="B14" s="380" t="s">
        <v>41</v>
      </c>
      <c r="C14" s="379" t="s">
        <v>116</v>
      </c>
      <c r="D14" s="248">
        <v>1</v>
      </c>
    </row>
    <row r="15" spans="1:4" x14ac:dyDescent="0.2">
      <c r="A15" s="365" t="s">
        <v>24</v>
      </c>
      <c r="B15" s="366" t="s">
        <v>171</v>
      </c>
      <c r="C15" s="379" t="s">
        <v>116</v>
      </c>
      <c r="D15" s="248">
        <v>1</v>
      </c>
    </row>
    <row r="16" spans="1:4" x14ac:dyDescent="0.2">
      <c r="A16" s="365" t="s">
        <v>95</v>
      </c>
      <c r="B16" s="366" t="s">
        <v>42</v>
      </c>
      <c r="C16" s="379" t="s">
        <v>116</v>
      </c>
      <c r="D16" s="248">
        <v>4</v>
      </c>
    </row>
    <row r="17" spans="1:4" x14ac:dyDescent="0.2">
      <c r="A17" s="365" t="s">
        <v>60</v>
      </c>
      <c r="B17" s="366" t="s">
        <v>144</v>
      </c>
      <c r="C17" s="379" t="s">
        <v>116</v>
      </c>
      <c r="D17" s="248">
        <v>1</v>
      </c>
    </row>
    <row r="18" spans="1:4" x14ac:dyDescent="0.2">
      <c r="A18" s="381"/>
      <c r="B18" s="382"/>
      <c r="C18" s="383"/>
      <c r="D18" s="384"/>
    </row>
    <row r="19" spans="1:4" x14ac:dyDescent="0.2">
      <c r="A19" s="385" t="s">
        <v>172</v>
      </c>
      <c r="B19" s="386"/>
      <c r="C19" s="387"/>
      <c r="D19" s="249"/>
    </row>
    <row r="20" spans="1:4" x14ac:dyDescent="0.2">
      <c r="A20" s="365" t="s">
        <v>44</v>
      </c>
      <c r="B20" s="366" t="s">
        <v>173</v>
      </c>
      <c r="C20" s="379" t="s">
        <v>116</v>
      </c>
      <c r="D20" s="248">
        <v>2</v>
      </c>
    </row>
    <row r="21" spans="1:4" x14ac:dyDescent="0.2">
      <c r="A21" s="365" t="s">
        <v>61</v>
      </c>
      <c r="B21" s="366" t="s">
        <v>170</v>
      </c>
      <c r="C21" s="379" t="s">
        <v>116</v>
      </c>
      <c r="D21" s="248">
        <v>1</v>
      </c>
    </row>
    <row r="22" spans="1:4" x14ac:dyDescent="0.2">
      <c r="A22" s="365" t="s">
        <v>96</v>
      </c>
      <c r="B22" s="366" t="s">
        <v>52</v>
      </c>
      <c r="C22" s="379" t="s">
        <v>116</v>
      </c>
      <c r="D22" s="248">
        <v>1</v>
      </c>
    </row>
    <row r="23" spans="1:4" x14ac:dyDescent="0.2">
      <c r="A23" s="365" t="s">
        <v>97</v>
      </c>
      <c r="B23" s="366" t="s">
        <v>53</v>
      </c>
      <c r="C23" s="379" t="s">
        <v>116</v>
      </c>
      <c r="D23" s="248">
        <v>1</v>
      </c>
    </row>
    <row r="24" spans="1:4" x14ac:dyDescent="0.2">
      <c r="A24" s="365" t="s">
        <v>58</v>
      </c>
      <c r="B24" s="380" t="s">
        <v>41</v>
      </c>
      <c r="C24" s="379" t="s">
        <v>116</v>
      </c>
      <c r="D24" s="248">
        <v>1</v>
      </c>
    </row>
    <row r="25" spans="1:4" x14ac:dyDescent="0.2">
      <c r="A25" s="365" t="s">
        <v>24</v>
      </c>
      <c r="B25" s="366" t="s">
        <v>171</v>
      </c>
      <c r="C25" s="379" t="s">
        <v>116</v>
      </c>
      <c r="D25" s="248">
        <v>1</v>
      </c>
    </row>
    <row r="26" spans="1:4" x14ac:dyDescent="0.2">
      <c r="A26" s="365" t="s">
        <v>95</v>
      </c>
      <c r="B26" s="366" t="s">
        <v>42</v>
      </c>
      <c r="C26" s="379" t="s">
        <v>116</v>
      </c>
      <c r="D26" s="248">
        <v>4</v>
      </c>
    </row>
    <row r="27" spans="1:4" x14ac:dyDescent="0.2">
      <c r="A27" s="365" t="s">
        <v>60</v>
      </c>
      <c r="B27" s="366" t="s">
        <v>144</v>
      </c>
      <c r="C27" s="379" t="s">
        <v>116</v>
      </c>
      <c r="D27" s="248">
        <v>1</v>
      </c>
    </row>
    <row r="28" spans="1:4" x14ac:dyDescent="0.2">
      <c r="A28" s="381"/>
      <c r="B28" s="382"/>
      <c r="C28" s="383"/>
      <c r="D28" s="384"/>
    </row>
    <row r="29" spans="1:4" x14ac:dyDescent="0.2">
      <c r="A29" s="385" t="s">
        <v>174</v>
      </c>
      <c r="B29" s="386"/>
      <c r="C29" s="387"/>
      <c r="D29" s="249"/>
    </row>
    <row r="30" spans="1:4" x14ac:dyDescent="0.2">
      <c r="A30" s="378" t="s">
        <v>49</v>
      </c>
      <c r="B30" s="388" t="s">
        <v>175</v>
      </c>
      <c r="C30" s="379" t="s">
        <v>116</v>
      </c>
      <c r="D30" s="248">
        <v>2</v>
      </c>
    </row>
    <row r="31" spans="1:4" x14ac:dyDescent="0.2">
      <c r="A31" s="365" t="s">
        <v>64</v>
      </c>
      <c r="B31" s="366" t="s">
        <v>170</v>
      </c>
      <c r="C31" s="379" t="s">
        <v>116</v>
      </c>
      <c r="D31" s="248">
        <v>1</v>
      </c>
    </row>
    <row r="32" spans="1:4" x14ac:dyDescent="0.2">
      <c r="A32" s="365" t="s">
        <v>98</v>
      </c>
      <c r="B32" s="366" t="s">
        <v>52</v>
      </c>
      <c r="C32" s="379" t="s">
        <v>116</v>
      </c>
      <c r="D32" s="248">
        <v>1</v>
      </c>
    </row>
    <row r="33" spans="1:4" x14ac:dyDescent="0.2">
      <c r="A33" s="365" t="s">
        <v>99</v>
      </c>
      <c r="B33" s="366" t="s">
        <v>53</v>
      </c>
      <c r="C33" s="379" t="s">
        <v>116</v>
      </c>
      <c r="D33" s="248">
        <v>1</v>
      </c>
    </row>
    <row r="34" spans="1:4" x14ac:dyDescent="0.2">
      <c r="A34" s="365" t="s">
        <v>58</v>
      </c>
      <c r="B34" s="380" t="s">
        <v>41</v>
      </c>
      <c r="C34" s="379" t="s">
        <v>116</v>
      </c>
      <c r="D34" s="248">
        <v>1</v>
      </c>
    </row>
    <row r="35" spans="1:4" x14ac:dyDescent="0.2">
      <c r="A35" s="365" t="s">
        <v>27</v>
      </c>
      <c r="B35" s="366" t="s">
        <v>176</v>
      </c>
      <c r="C35" s="379" t="s">
        <v>116</v>
      </c>
      <c r="D35" s="248">
        <v>1</v>
      </c>
    </row>
    <row r="36" spans="1:4" x14ac:dyDescent="0.2">
      <c r="A36" s="365" t="s">
        <v>95</v>
      </c>
      <c r="B36" s="366" t="s">
        <v>42</v>
      </c>
      <c r="C36" s="379" t="s">
        <v>116</v>
      </c>
      <c r="D36" s="248">
        <v>4</v>
      </c>
    </row>
    <row r="37" spans="1:4" x14ac:dyDescent="0.2">
      <c r="A37" s="365" t="s">
        <v>63</v>
      </c>
      <c r="B37" s="366" t="s">
        <v>144</v>
      </c>
      <c r="C37" s="379" t="s">
        <v>116</v>
      </c>
      <c r="D37" s="248">
        <v>1</v>
      </c>
    </row>
    <row r="38" spans="1:4" x14ac:dyDescent="0.2">
      <c r="A38" s="381"/>
      <c r="B38" s="382"/>
      <c r="C38" s="383"/>
      <c r="D38" s="389"/>
    </row>
    <row r="39" spans="1:4" x14ac:dyDescent="0.2">
      <c r="A39" s="390"/>
      <c r="B39" s="391" t="s">
        <v>177</v>
      </c>
      <c r="C39" s="392"/>
      <c r="D39" s="393"/>
    </row>
    <row r="40" spans="1:4" x14ac:dyDescent="0.2">
      <c r="A40" s="365" t="s">
        <v>59</v>
      </c>
      <c r="B40" s="366" t="s">
        <v>178</v>
      </c>
      <c r="C40" s="379" t="s">
        <v>116</v>
      </c>
      <c r="D40" s="248"/>
    </row>
    <row r="41" spans="1:4" x14ac:dyDescent="0.2">
      <c r="A41" s="365" t="s">
        <v>62</v>
      </c>
      <c r="B41" s="366" t="s">
        <v>179</v>
      </c>
      <c r="C41" s="379" t="s">
        <v>116</v>
      </c>
      <c r="D41" s="248"/>
    </row>
    <row r="42" spans="1:4" x14ac:dyDescent="0.2">
      <c r="A42" s="365" t="s">
        <v>48</v>
      </c>
      <c r="B42" s="366" t="s">
        <v>180</v>
      </c>
      <c r="C42" s="379" t="s">
        <v>116</v>
      </c>
      <c r="D42" s="248"/>
    </row>
    <row r="43" spans="1:4" x14ac:dyDescent="0.2">
      <c r="A43" s="365" t="s">
        <v>47</v>
      </c>
      <c r="B43" s="366" t="s">
        <v>181</v>
      </c>
      <c r="C43" s="379" t="s">
        <v>116</v>
      </c>
      <c r="D43" s="248"/>
    </row>
    <row r="44" spans="1:4" x14ac:dyDescent="0.2">
      <c r="A44" s="365" t="s">
        <v>45</v>
      </c>
      <c r="B44" s="366" t="s">
        <v>182</v>
      </c>
      <c r="C44" s="379" t="s">
        <v>116</v>
      </c>
      <c r="D44" s="248"/>
    </row>
    <row r="45" spans="1:4" x14ac:dyDescent="0.2">
      <c r="A45" s="365" t="s">
        <v>24</v>
      </c>
      <c r="B45" s="366" t="s">
        <v>183</v>
      </c>
      <c r="C45" s="379" t="s">
        <v>116</v>
      </c>
      <c r="D45" s="248"/>
    </row>
    <row r="46" spans="1:4" x14ac:dyDescent="0.2">
      <c r="A46" s="365" t="s">
        <v>26</v>
      </c>
      <c r="B46" s="366" t="s">
        <v>184</v>
      </c>
      <c r="C46" s="379" t="s">
        <v>116</v>
      </c>
      <c r="D46" s="248"/>
    </row>
    <row r="47" spans="1:4" x14ac:dyDescent="0.2">
      <c r="A47" s="365" t="s">
        <v>27</v>
      </c>
      <c r="B47" s="366" t="s">
        <v>183</v>
      </c>
      <c r="C47" s="379" t="s">
        <v>116</v>
      </c>
      <c r="D47" s="248"/>
    </row>
    <row r="48" spans="1:4" x14ac:dyDescent="0.2">
      <c r="A48" s="365" t="s">
        <v>29</v>
      </c>
      <c r="B48" s="366" t="s">
        <v>184</v>
      </c>
      <c r="C48" s="379" t="s">
        <v>116</v>
      </c>
      <c r="D48" s="248"/>
    </row>
    <row r="49" spans="1:4" x14ac:dyDescent="0.2">
      <c r="A49" s="365" t="s">
        <v>142</v>
      </c>
      <c r="B49" s="366" t="s">
        <v>185</v>
      </c>
      <c r="C49" s="379" t="s">
        <v>116</v>
      </c>
      <c r="D49" s="248"/>
    </row>
    <row r="50" spans="1:4" x14ac:dyDescent="0.2">
      <c r="A50" s="365" t="s">
        <v>143</v>
      </c>
      <c r="B50" s="366" t="s">
        <v>186</v>
      </c>
      <c r="C50" s="379" t="s">
        <v>116</v>
      </c>
      <c r="D50" s="248"/>
    </row>
    <row r="51" spans="1:4" x14ac:dyDescent="0.2">
      <c r="A51" s="381"/>
      <c r="B51" s="382"/>
      <c r="C51" s="383"/>
      <c r="D51" s="389"/>
    </row>
    <row r="52" spans="1:4" x14ac:dyDescent="0.2">
      <c r="A52" s="394"/>
      <c r="B52" s="391" t="s">
        <v>228</v>
      </c>
      <c r="C52" s="391"/>
      <c r="D52" s="393"/>
    </row>
    <row r="53" spans="1:4" x14ac:dyDescent="0.2">
      <c r="A53" s="365" t="s">
        <v>159</v>
      </c>
      <c r="B53" s="366" t="s">
        <v>56</v>
      </c>
      <c r="C53" s="379" t="s">
        <v>116</v>
      </c>
      <c r="D53" s="248"/>
    </row>
    <row r="54" spans="1:4" x14ac:dyDescent="0.2">
      <c r="A54" s="365" t="s">
        <v>145</v>
      </c>
      <c r="B54" s="366" t="s">
        <v>56</v>
      </c>
      <c r="C54" s="379" t="s">
        <v>116</v>
      </c>
      <c r="D54" s="248"/>
    </row>
    <row r="55" spans="1:4" x14ac:dyDescent="0.2">
      <c r="A55" s="365" t="s">
        <v>69</v>
      </c>
      <c r="B55" s="366" t="s">
        <v>68</v>
      </c>
      <c r="C55" s="379" t="s">
        <v>116</v>
      </c>
      <c r="D55" s="248"/>
    </row>
    <row r="56" spans="1:4" x14ac:dyDescent="0.2">
      <c r="A56" s="365" t="s">
        <v>67</v>
      </c>
      <c r="B56" s="366" t="s">
        <v>191</v>
      </c>
      <c r="C56" s="379" t="s">
        <v>116</v>
      </c>
      <c r="D56" s="248"/>
    </row>
    <row r="57" spans="1:4" x14ac:dyDescent="0.2">
      <c r="A57" s="365" t="s">
        <v>66</v>
      </c>
      <c r="B57" s="366" t="s">
        <v>192</v>
      </c>
      <c r="C57" s="379" t="s">
        <v>116</v>
      </c>
      <c r="D57" s="248"/>
    </row>
    <row r="58" spans="1:4" x14ac:dyDescent="0.2">
      <c r="A58" s="365" t="s">
        <v>74</v>
      </c>
      <c r="B58" s="366" t="s">
        <v>70</v>
      </c>
      <c r="C58" s="379" t="s">
        <v>116</v>
      </c>
      <c r="D58" s="248"/>
    </row>
    <row r="59" spans="1:4" x14ac:dyDescent="0.2">
      <c r="A59" s="365" t="s">
        <v>75</v>
      </c>
      <c r="B59" s="366" t="s">
        <v>70</v>
      </c>
      <c r="C59" s="379" t="s">
        <v>116</v>
      </c>
      <c r="D59" s="248"/>
    </row>
    <row r="60" spans="1:4" x14ac:dyDescent="0.2">
      <c r="A60" s="365" t="s">
        <v>76</v>
      </c>
      <c r="B60" s="366" t="s">
        <v>71</v>
      </c>
      <c r="C60" s="379" t="s">
        <v>116</v>
      </c>
      <c r="D60" s="248"/>
    </row>
    <row r="61" spans="1:4" x14ac:dyDescent="0.2">
      <c r="A61" s="365" t="s">
        <v>77</v>
      </c>
      <c r="B61" s="366" t="s">
        <v>71</v>
      </c>
      <c r="C61" s="379" t="s">
        <v>116</v>
      </c>
      <c r="D61" s="248"/>
    </row>
    <row r="62" spans="1:4" x14ac:dyDescent="0.2">
      <c r="A62" s="365" t="s">
        <v>78</v>
      </c>
      <c r="B62" s="366" t="s">
        <v>72</v>
      </c>
      <c r="C62" s="379" t="s">
        <v>116</v>
      </c>
      <c r="D62" s="248"/>
    </row>
    <row r="63" spans="1:4" x14ac:dyDescent="0.2">
      <c r="A63" s="365" t="s">
        <v>79</v>
      </c>
      <c r="B63" s="366" t="s">
        <v>72</v>
      </c>
      <c r="C63" s="379" t="s">
        <v>116</v>
      </c>
      <c r="D63" s="248"/>
    </row>
    <row r="64" spans="1:4" x14ac:dyDescent="0.2">
      <c r="A64" s="365" t="s">
        <v>80</v>
      </c>
      <c r="B64" s="366" t="s">
        <v>73</v>
      </c>
      <c r="C64" s="379" t="s">
        <v>116</v>
      </c>
      <c r="D64" s="248"/>
    </row>
  </sheetData>
  <sheetProtection algorithmName="SHA-512" hashValue="hZB9fiRiIHBFmybDPoJLcWFTS9+bH5rLtGkrpUXb2HwNrB4z+Ly/382WTw+pNMFYXZoccy8rgTHmdYTmTbp3zw==" saltValue="2nsdOvukJ00aw3sqVHip0A==" spinCount="100000" sheet="1" objects="1" scenarios="1" selectLockedCells="1" selectUnlockedCells="1"/>
  <protectedRanges>
    <protectedRange sqref="B4:B8 A19 A29 B10:C18 B20:C28 A2:C3 C4:C9 C19 C29 B30:C50" name="Диапазон1_1_1"/>
    <protectedRange sqref="A1:D1" name="Диапазон1_2_1"/>
    <protectedRange sqref="D34 D24 D14 D9 D19 D29 D44" name="Диапазон1_4"/>
    <protectedRange sqref="D10 D20 D30 D40" name="Диапазон1_1_1_1_1"/>
    <protectedRange sqref="D2:D8" name="Диапазон1_3_1"/>
  </protectedRange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55"/>
  <sheetViews>
    <sheetView zoomScale="70" zoomScaleNormal="70" workbookViewId="0">
      <pane ySplit="8" topLeftCell="A21" activePane="bottomLeft" state="frozen"/>
      <selection activeCell="G13" sqref="G13"/>
      <selection pane="bottomLeft" activeCell="C65" sqref="C65"/>
    </sheetView>
  </sheetViews>
  <sheetFormatPr defaultRowHeight="12.75" outlineLevelCol="1" x14ac:dyDescent="0.2"/>
  <cols>
    <col min="1" max="1" width="15.5703125" style="100" customWidth="1"/>
    <col min="2" max="2" width="23.5703125" style="100" customWidth="1"/>
    <col min="3" max="3" width="35.42578125" style="100" customWidth="1"/>
    <col min="4" max="4" width="10.140625" style="100" customWidth="1"/>
    <col min="5" max="5" width="9.140625" style="100" customWidth="1"/>
    <col min="6" max="6" width="12.140625" style="100" customWidth="1"/>
    <col min="7" max="7" width="11.85546875" style="101" customWidth="1" outlineLevel="1"/>
  </cols>
  <sheetData>
    <row r="1" spans="1:7" x14ac:dyDescent="0.2">
      <c r="A1" s="100" t="s">
        <v>101</v>
      </c>
    </row>
    <row r="2" spans="1:7" x14ac:dyDescent="0.2">
      <c r="A2" s="100" t="s">
        <v>102</v>
      </c>
    </row>
    <row r="3" spans="1:7" x14ac:dyDescent="0.2">
      <c r="A3" s="100" t="s">
        <v>103</v>
      </c>
    </row>
    <row r="4" spans="1:7" x14ac:dyDescent="0.2">
      <c r="A4" s="100" t="s">
        <v>104</v>
      </c>
    </row>
    <row r="7" spans="1:7" ht="18" customHeight="1" thickBot="1" x14ac:dyDescent="0.25">
      <c r="A7" s="356" t="s">
        <v>105</v>
      </c>
      <c r="B7" s="356"/>
      <c r="C7" s="356"/>
      <c r="D7" s="356"/>
      <c r="E7" s="356"/>
      <c r="F7" s="356"/>
      <c r="G7" s="356"/>
    </row>
    <row r="8" spans="1:7" ht="64.5" customHeight="1" thickBot="1" x14ac:dyDescent="0.25">
      <c r="A8" s="102" t="s">
        <v>106</v>
      </c>
      <c r="B8" s="103" t="s">
        <v>107</v>
      </c>
      <c r="C8" s="103" t="s">
        <v>108</v>
      </c>
      <c r="D8" s="104" t="s">
        <v>109</v>
      </c>
      <c r="E8" s="103" t="s">
        <v>110</v>
      </c>
      <c r="F8" s="105" t="s">
        <v>111</v>
      </c>
      <c r="G8" s="106" t="s">
        <v>112</v>
      </c>
    </row>
    <row r="9" spans="1:7" ht="13.5" customHeight="1" thickBot="1" x14ac:dyDescent="0.25">
      <c r="A9" s="107" t="s">
        <v>113</v>
      </c>
      <c r="B9" s="108"/>
      <c r="C9" s="109"/>
      <c r="D9" s="110"/>
      <c r="E9" s="109"/>
      <c r="F9" s="110"/>
      <c r="G9" s="111"/>
    </row>
    <row r="10" spans="1:7" ht="12" customHeight="1" x14ac:dyDescent="0.2">
      <c r="A10" s="112">
        <v>2008804</v>
      </c>
      <c r="B10" s="113" t="s">
        <v>114</v>
      </c>
      <c r="C10" s="112" t="s">
        <v>43</v>
      </c>
      <c r="D10" s="114" t="s">
        <v>115</v>
      </c>
      <c r="E10" s="115" t="s">
        <v>116</v>
      </c>
      <c r="F10" s="116">
        <v>25</v>
      </c>
      <c r="G10" s="117">
        <v>1875.07</v>
      </c>
    </row>
    <row r="11" spans="1:7" ht="12" customHeight="1" x14ac:dyDescent="0.2">
      <c r="A11" s="112">
        <v>2008805</v>
      </c>
      <c r="B11" s="113" t="s">
        <v>117</v>
      </c>
      <c r="C11" s="112" t="s">
        <v>43</v>
      </c>
      <c r="D11" s="114" t="s">
        <v>115</v>
      </c>
      <c r="E11" s="115" t="s">
        <v>116</v>
      </c>
      <c r="F11" s="116">
        <v>40.6</v>
      </c>
      <c r="G11" s="117">
        <v>3044.7</v>
      </c>
    </row>
    <row r="12" spans="1:7" ht="12" customHeight="1" x14ac:dyDescent="0.2">
      <c r="A12" s="112">
        <v>2008402</v>
      </c>
      <c r="B12" s="113" t="s">
        <v>118</v>
      </c>
      <c r="C12" s="112" t="s">
        <v>52</v>
      </c>
      <c r="D12" s="114" t="s">
        <v>115</v>
      </c>
      <c r="E12" s="115" t="s">
        <v>116</v>
      </c>
      <c r="F12" s="116">
        <v>5.78</v>
      </c>
      <c r="G12" s="117">
        <v>433.81</v>
      </c>
    </row>
    <row r="13" spans="1:7" ht="12" customHeight="1" x14ac:dyDescent="0.2">
      <c r="A13" s="112">
        <v>2008403</v>
      </c>
      <c r="B13" s="113" t="s">
        <v>119</v>
      </c>
      <c r="C13" s="112" t="s">
        <v>52</v>
      </c>
      <c r="D13" s="114" t="s">
        <v>115</v>
      </c>
      <c r="E13" s="115" t="s">
        <v>116</v>
      </c>
      <c r="F13" s="116">
        <v>8.16</v>
      </c>
      <c r="G13" s="117">
        <v>612.1</v>
      </c>
    </row>
    <row r="14" spans="1:7" ht="12" customHeight="1" x14ac:dyDescent="0.2">
      <c r="A14" s="112">
        <v>2008936</v>
      </c>
      <c r="B14" s="113" t="s">
        <v>120</v>
      </c>
      <c r="C14" s="112" t="s">
        <v>53</v>
      </c>
      <c r="D14" s="114" t="s">
        <v>115</v>
      </c>
      <c r="E14" s="115" t="s">
        <v>116</v>
      </c>
      <c r="F14" s="116">
        <v>4.7300000000000004</v>
      </c>
      <c r="G14" s="117">
        <v>354.96</v>
      </c>
    </row>
    <row r="15" spans="1:7" ht="12" customHeight="1" x14ac:dyDescent="0.2">
      <c r="A15" s="112">
        <v>2008937</v>
      </c>
      <c r="B15" s="113" t="s">
        <v>121</v>
      </c>
      <c r="C15" s="112" t="s">
        <v>53</v>
      </c>
      <c r="D15" s="114" t="s">
        <v>115</v>
      </c>
      <c r="E15" s="115" t="s">
        <v>116</v>
      </c>
      <c r="F15" s="116">
        <v>6.26</v>
      </c>
      <c r="G15" s="117">
        <v>469.71</v>
      </c>
    </row>
    <row r="16" spans="1:7" ht="12" customHeight="1" x14ac:dyDescent="0.2">
      <c r="A16" s="112">
        <v>2008939</v>
      </c>
      <c r="B16" s="113" t="s">
        <v>122</v>
      </c>
      <c r="C16" s="112" t="s">
        <v>123</v>
      </c>
      <c r="D16" s="114" t="s">
        <v>115</v>
      </c>
      <c r="E16" s="115" t="s">
        <v>116</v>
      </c>
      <c r="F16" s="116">
        <v>7.67</v>
      </c>
      <c r="G16" s="117">
        <v>575.28</v>
      </c>
    </row>
    <row r="17" spans="1:7" ht="12" customHeight="1" x14ac:dyDescent="0.2">
      <c r="A17" s="112">
        <v>2008405</v>
      </c>
      <c r="B17" s="113" t="s">
        <v>124</v>
      </c>
      <c r="C17" s="112" t="s">
        <v>42</v>
      </c>
      <c r="D17" s="114" t="s">
        <v>115</v>
      </c>
      <c r="E17" s="115" t="s">
        <v>116</v>
      </c>
      <c r="F17" s="116">
        <v>1.21</v>
      </c>
      <c r="G17" s="117">
        <v>91.09</v>
      </c>
    </row>
    <row r="18" spans="1:7" ht="12" customHeight="1" x14ac:dyDescent="0.2">
      <c r="A18" s="112">
        <v>2008754</v>
      </c>
      <c r="B18" s="113" t="s">
        <v>125</v>
      </c>
      <c r="C18" s="112" t="s">
        <v>126</v>
      </c>
      <c r="D18" s="114" t="s">
        <v>115</v>
      </c>
      <c r="E18" s="115" t="s">
        <v>116</v>
      </c>
      <c r="F18" s="116">
        <v>1.68</v>
      </c>
      <c r="G18" s="117">
        <v>126.28</v>
      </c>
    </row>
    <row r="19" spans="1:7" ht="12" customHeight="1" x14ac:dyDescent="0.2">
      <c r="A19" s="112">
        <v>2008942</v>
      </c>
      <c r="B19" s="113" t="s">
        <v>127</v>
      </c>
      <c r="C19" s="112" t="s">
        <v>51</v>
      </c>
      <c r="D19" s="114" t="s">
        <v>115</v>
      </c>
      <c r="E19" s="115" t="s">
        <v>116</v>
      </c>
      <c r="F19" s="116">
        <v>8.1199999999999992</v>
      </c>
      <c r="G19" s="117">
        <v>608.94000000000005</v>
      </c>
    </row>
    <row r="20" spans="1:7" ht="12" customHeight="1" x14ac:dyDescent="0.2">
      <c r="A20" s="112">
        <v>2008943</v>
      </c>
      <c r="B20" s="113" t="s">
        <v>128</v>
      </c>
      <c r="C20" s="112" t="s">
        <v>51</v>
      </c>
      <c r="D20" s="114" t="s">
        <v>115</v>
      </c>
      <c r="E20" s="115" t="s">
        <v>116</v>
      </c>
      <c r="F20" s="116">
        <v>14.28</v>
      </c>
      <c r="G20" s="117">
        <v>1071</v>
      </c>
    </row>
    <row r="21" spans="1:7" ht="12" customHeight="1" x14ac:dyDescent="0.2">
      <c r="A21" s="112">
        <v>2008945</v>
      </c>
      <c r="B21" s="113" t="s">
        <v>129</v>
      </c>
      <c r="C21" s="112" t="s">
        <v>130</v>
      </c>
      <c r="D21" s="114" t="s">
        <v>115</v>
      </c>
      <c r="E21" s="115" t="s">
        <v>116</v>
      </c>
      <c r="F21" s="116">
        <v>0.57999999999999996</v>
      </c>
      <c r="G21" s="117">
        <v>43.66</v>
      </c>
    </row>
    <row r="22" spans="1:7" ht="12" customHeight="1" x14ac:dyDescent="0.2">
      <c r="A22" s="112">
        <v>2008946</v>
      </c>
      <c r="B22" s="113" t="s">
        <v>131</v>
      </c>
      <c r="C22" s="112" t="s">
        <v>130</v>
      </c>
      <c r="D22" s="114" t="s">
        <v>115</v>
      </c>
      <c r="E22" s="115" t="s">
        <v>116</v>
      </c>
      <c r="F22" s="116">
        <v>0.92</v>
      </c>
      <c r="G22" s="117">
        <v>68.849999999999994</v>
      </c>
    </row>
    <row r="23" spans="1:7" ht="12" customHeight="1" x14ac:dyDescent="0.2">
      <c r="A23" s="112">
        <v>2008740</v>
      </c>
      <c r="B23" s="113" t="s">
        <v>89</v>
      </c>
      <c r="C23" s="112" t="s">
        <v>132</v>
      </c>
      <c r="D23" s="114" t="s">
        <v>115</v>
      </c>
      <c r="E23" s="115" t="s">
        <v>133</v>
      </c>
      <c r="F23" s="116">
        <v>17.34</v>
      </c>
      <c r="G23" s="117">
        <v>1300.5</v>
      </c>
    </row>
    <row r="24" spans="1:7" ht="12" customHeight="1" x14ac:dyDescent="0.2">
      <c r="A24" s="112">
        <v>2008762</v>
      </c>
      <c r="B24" s="113" t="s">
        <v>90</v>
      </c>
      <c r="C24" s="112" t="s">
        <v>134</v>
      </c>
      <c r="D24" s="114" t="s">
        <v>115</v>
      </c>
      <c r="E24" s="115" t="s">
        <v>133</v>
      </c>
      <c r="F24" s="116">
        <v>17.34</v>
      </c>
      <c r="G24" s="117">
        <v>1300.5</v>
      </c>
    </row>
    <row r="25" spans="1:7" ht="12" customHeight="1" x14ac:dyDescent="0.2">
      <c r="A25" s="112">
        <v>2008735</v>
      </c>
      <c r="B25" s="113" t="s">
        <v>87</v>
      </c>
      <c r="C25" s="112" t="s">
        <v>135</v>
      </c>
      <c r="D25" s="114" t="s">
        <v>115</v>
      </c>
      <c r="E25" s="115" t="s">
        <v>133</v>
      </c>
      <c r="F25" s="116">
        <v>8.4</v>
      </c>
      <c r="G25" s="117">
        <v>630.36</v>
      </c>
    </row>
    <row r="26" spans="1:7" ht="12" customHeight="1" x14ac:dyDescent="0.2">
      <c r="A26" s="112">
        <v>415200300</v>
      </c>
      <c r="B26" s="113" t="s">
        <v>88</v>
      </c>
      <c r="C26" s="112" t="s">
        <v>135</v>
      </c>
      <c r="D26" s="114" t="s">
        <v>115</v>
      </c>
      <c r="E26" s="115" t="s">
        <v>133</v>
      </c>
      <c r="F26" s="116">
        <v>6.62</v>
      </c>
      <c r="G26" s="117">
        <v>496.54</v>
      </c>
    </row>
    <row r="27" spans="1:7" s="123" customFormat="1" ht="12" customHeight="1" x14ac:dyDescent="0.2">
      <c r="A27" s="118">
        <v>415200200</v>
      </c>
      <c r="B27" s="119" t="s">
        <v>91</v>
      </c>
      <c r="C27" s="118" t="s">
        <v>135</v>
      </c>
      <c r="D27" s="120" t="s">
        <v>115</v>
      </c>
      <c r="E27" s="121" t="s">
        <v>133</v>
      </c>
      <c r="F27" s="116">
        <v>15.3</v>
      </c>
      <c r="G27" s="122">
        <v>1147.5</v>
      </c>
    </row>
    <row r="28" spans="1:7" ht="12" customHeight="1" thickBot="1" x14ac:dyDescent="0.25">
      <c r="A28" s="118">
        <v>415200400</v>
      </c>
      <c r="B28" s="119" t="s">
        <v>92</v>
      </c>
      <c r="C28" s="118" t="s">
        <v>134</v>
      </c>
      <c r="D28" s="120" t="s">
        <v>115</v>
      </c>
      <c r="E28" s="121" t="s">
        <v>133</v>
      </c>
      <c r="F28" s="116">
        <v>15.3</v>
      </c>
      <c r="G28" s="122">
        <v>1147.5</v>
      </c>
    </row>
    <row r="29" spans="1:7" ht="13.5" customHeight="1" thickBot="1" x14ac:dyDescent="0.25">
      <c r="A29" s="107" t="s">
        <v>136</v>
      </c>
      <c r="B29" s="108"/>
      <c r="C29" s="109"/>
      <c r="D29" s="110"/>
      <c r="E29" s="109"/>
      <c r="F29" s="110" t="s">
        <v>137</v>
      </c>
      <c r="G29" s="124" t="s">
        <v>137</v>
      </c>
    </row>
    <row r="30" spans="1:7" ht="12" customHeight="1" x14ac:dyDescent="0.2">
      <c r="A30" s="125">
        <v>415001600</v>
      </c>
      <c r="B30" s="126" t="s">
        <v>49</v>
      </c>
      <c r="C30" s="125" t="s">
        <v>138</v>
      </c>
      <c r="D30" s="127"/>
      <c r="E30" s="128" t="s">
        <v>139</v>
      </c>
      <c r="F30" s="129">
        <v>40.6</v>
      </c>
      <c r="G30" s="130">
        <v>3044.7</v>
      </c>
    </row>
    <row r="31" spans="1:7" ht="12" customHeight="1" x14ac:dyDescent="0.2">
      <c r="A31" s="118">
        <v>415001500</v>
      </c>
      <c r="B31" s="119" t="s">
        <v>48</v>
      </c>
      <c r="C31" s="118" t="s">
        <v>140</v>
      </c>
      <c r="D31" s="120"/>
      <c r="E31" s="121" t="s">
        <v>139</v>
      </c>
      <c r="F31" s="116">
        <v>32.64</v>
      </c>
      <c r="G31" s="122">
        <v>2448</v>
      </c>
    </row>
    <row r="32" spans="1:7" ht="12" customHeight="1" x14ac:dyDescent="0.2">
      <c r="A32" s="118">
        <v>415001400</v>
      </c>
      <c r="B32" s="119" t="s">
        <v>47</v>
      </c>
      <c r="C32" s="118" t="s">
        <v>141</v>
      </c>
      <c r="D32" s="120"/>
      <c r="E32" s="121" t="s">
        <v>139</v>
      </c>
      <c r="F32" s="116">
        <v>34.68</v>
      </c>
      <c r="G32" s="122">
        <v>2601</v>
      </c>
    </row>
    <row r="33" spans="1:7" ht="12" customHeight="1" x14ac:dyDescent="0.2">
      <c r="A33" s="118">
        <v>415000500</v>
      </c>
      <c r="B33" s="119" t="s">
        <v>46</v>
      </c>
      <c r="C33" s="118" t="s">
        <v>138</v>
      </c>
      <c r="D33" s="120"/>
      <c r="E33" s="121" t="s">
        <v>139</v>
      </c>
      <c r="F33" s="116">
        <v>21.43</v>
      </c>
      <c r="G33" s="122">
        <v>1607.32</v>
      </c>
    </row>
    <row r="34" spans="1:7" s="123" customFormat="1" ht="12" customHeight="1" x14ac:dyDescent="0.2">
      <c r="A34" s="118">
        <v>415000400</v>
      </c>
      <c r="B34" s="119" t="s">
        <v>45</v>
      </c>
      <c r="C34" s="118" t="s">
        <v>140</v>
      </c>
      <c r="D34" s="120"/>
      <c r="E34" s="121" t="s">
        <v>139</v>
      </c>
      <c r="F34" s="116">
        <v>16.39</v>
      </c>
      <c r="G34" s="122">
        <v>1229.4100000000001</v>
      </c>
    </row>
    <row r="35" spans="1:7" s="123" customFormat="1" ht="12" customHeight="1" x14ac:dyDescent="0.2">
      <c r="A35" s="118">
        <v>415000300</v>
      </c>
      <c r="B35" s="119" t="s">
        <v>44</v>
      </c>
      <c r="C35" s="118" t="s">
        <v>141</v>
      </c>
      <c r="D35" s="120"/>
      <c r="E35" s="121" t="s">
        <v>139</v>
      </c>
      <c r="F35" s="116">
        <v>17.649999999999999</v>
      </c>
      <c r="G35" s="122">
        <v>1323.45</v>
      </c>
    </row>
    <row r="36" spans="1:7" ht="12" customHeight="1" x14ac:dyDescent="0.2">
      <c r="A36" s="112">
        <v>415002900</v>
      </c>
      <c r="B36" s="113" t="s">
        <v>98</v>
      </c>
      <c r="C36" s="112" t="s">
        <v>52</v>
      </c>
      <c r="D36" s="114"/>
      <c r="E36" s="115" t="s">
        <v>139</v>
      </c>
      <c r="F36" s="116">
        <v>6.51</v>
      </c>
      <c r="G36" s="117">
        <v>488.07</v>
      </c>
    </row>
    <row r="37" spans="1:7" ht="12" customHeight="1" x14ac:dyDescent="0.2">
      <c r="A37" s="112">
        <v>415002700</v>
      </c>
      <c r="B37" s="113" t="s">
        <v>96</v>
      </c>
      <c r="C37" s="112" t="s">
        <v>52</v>
      </c>
      <c r="D37" s="114"/>
      <c r="E37" s="115" t="s">
        <v>139</v>
      </c>
      <c r="F37" s="116">
        <v>3.68</v>
      </c>
      <c r="G37" s="117">
        <v>276.22000000000003</v>
      </c>
    </row>
    <row r="38" spans="1:7" ht="12" customHeight="1" x14ac:dyDescent="0.2">
      <c r="A38" s="112">
        <v>415003000</v>
      </c>
      <c r="B38" s="113" t="s">
        <v>99</v>
      </c>
      <c r="C38" s="112" t="s">
        <v>53</v>
      </c>
      <c r="D38" s="114"/>
      <c r="E38" s="115" t="s">
        <v>139</v>
      </c>
      <c r="F38" s="116">
        <v>3.71</v>
      </c>
      <c r="G38" s="117">
        <v>278.45999999999998</v>
      </c>
    </row>
    <row r="39" spans="1:7" ht="12" customHeight="1" x14ac:dyDescent="0.2">
      <c r="A39" s="112">
        <v>415002800</v>
      </c>
      <c r="B39" s="113" t="s">
        <v>97</v>
      </c>
      <c r="C39" s="112" t="s">
        <v>53</v>
      </c>
      <c r="D39" s="114"/>
      <c r="E39" s="115" t="s">
        <v>139</v>
      </c>
      <c r="F39" s="116">
        <v>2.52</v>
      </c>
      <c r="G39" s="117">
        <v>189.01</v>
      </c>
    </row>
    <row r="40" spans="1:7" ht="12" customHeight="1" x14ac:dyDescent="0.2">
      <c r="A40" s="112">
        <v>415002100</v>
      </c>
      <c r="B40" s="113" t="s">
        <v>64</v>
      </c>
      <c r="C40" s="112" t="s">
        <v>55</v>
      </c>
      <c r="D40" s="114"/>
      <c r="E40" s="115" t="s">
        <v>139</v>
      </c>
      <c r="F40" s="116">
        <v>1.1200000000000001</v>
      </c>
      <c r="G40" s="117">
        <v>84.15</v>
      </c>
    </row>
    <row r="41" spans="1:7" ht="12" customHeight="1" x14ac:dyDescent="0.2">
      <c r="A41" s="112">
        <v>415001000</v>
      </c>
      <c r="B41" s="113" t="s">
        <v>61</v>
      </c>
      <c r="C41" s="112" t="s">
        <v>55</v>
      </c>
      <c r="D41" s="114"/>
      <c r="E41" s="115" t="s">
        <v>139</v>
      </c>
      <c r="F41" s="116">
        <v>0.71</v>
      </c>
      <c r="G41" s="117">
        <v>53.55</v>
      </c>
    </row>
    <row r="42" spans="1:7" ht="12" customHeight="1" x14ac:dyDescent="0.2">
      <c r="A42" s="112">
        <v>415001200</v>
      </c>
      <c r="B42" s="113" t="s">
        <v>25</v>
      </c>
      <c r="C42" s="112" t="s">
        <v>56</v>
      </c>
      <c r="D42" s="114"/>
      <c r="E42" s="115" t="s">
        <v>139</v>
      </c>
      <c r="F42" s="116">
        <v>1.35</v>
      </c>
      <c r="G42" s="117">
        <v>100.98</v>
      </c>
    </row>
    <row r="43" spans="1:7" ht="12" customHeight="1" x14ac:dyDescent="0.2">
      <c r="A43" s="112">
        <v>415001100</v>
      </c>
      <c r="B43" s="113" t="s">
        <v>24</v>
      </c>
      <c r="C43" s="112" t="s">
        <v>56</v>
      </c>
      <c r="D43" s="114"/>
      <c r="E43" s="115" t="s">
        <v>139</v>
      </c>
      <c r="F43" s="116">
        <v>2.61</v>
      </c>
      <c r="G43" s="117">
        <v>195.84</v>
      </c>
    </row>
    <row r="44" spans="1:7" ht="12" customHeight="1" x14ac:dyDescent="0.2">
      <c r="A44" s="112">
        <v>415001300</v>
      </c>
      <c r="B44" s="113" t="s">
        <v>26</v>
      </c>
      <c r="C44" s="112" t="s">
        <v>56</v>
      </c>
      <c r="D44" s="114"/>
      <c r="E44" s="115" t="s">
        <v>139</v>
      </c>
      <c r="F44" s="116">
        <v>4.3</v>
      </c>
      <c r="G44" s="117">
        <v>322.83</v>
      </c>
    </row>
    <row r="45" spans="1:7" ht="12" customHeight="1" x14ac:dyDescent="0.2">
      <c r="A45" s="112">
        <v>415002300</v>
      </c>
      <c r="B45" s="113" t="s">
        <v>28</v>
      </c>
      <c r="C45" s="112" t="s">
        <v>56</v>
      </c>
      <c r="D45" s="114"/>
      <c r="E45" s="115" t="s">
        <v>139</v>
      </c>
      <c r="F45" s="116">
        <v>1.83</v>
      </c>
      <c r="G45" s="117">
        <v>136.99</v>
      </c>
    </row>
    <row r="46" spans="1:7" ht="12" customHeight="1" x14ac:dyDescent="0.2">
      <c r="A46" s="112">
        <v>415002200</v>
      </c>
      <c r="B46" s="113" t="s">
        <v>27</v>
      </c>
      <c r="C46" s="112" t="s">
        <v>56</v>
      </c>
      <c r="D46" s="114"/>
      <c r="E46" s="115" t="s">
        <v>139</v>
      </c>
      <c r="F46" s="116">
        <v>2.92</v>
      </c>
      <c r="G46" s="117">
        <v>218.79</v>
      </c>
    </row>
    <row r="47" spans="1:7" ht="12" customHeight="1" x14ac:dyDescent="0.2">
      <c r="A47" s="112">
        <v>415002400</v>
      </c>
      <c r="B47" s="113" t="s">
        <v>29</v>
      </c>
      <c r="C47" s="112" t="s">
        <v>56</v>
      </c>
      <c r="D47" s="114"/>
      <c r="E47" s="115" t="s">
        <v>139</v>
      </c>
      <c r="F47" s="116">
        <v>4.74</v>
      </c>
      <c r="G47" s="117">
        <v>355.78</v>
      </c>
    </row>
    <row r="48" spans="1:7" ht="12" customHeight="1" x14ac:dyDescent="0.2">
      <c r="A48" s="112">
        <v>415003100</v>
      </c>
      <c r="B48" s="113" t="s">
        <v>142</v>
      </c>
      <c r="C48" s="112" t="s">
        <v>56</v>
      </c>
      <c r="D48" s="114"/>
      <c r="E48" s="115" t="s">
        <v>116</v>
      </c>
      <c r="F48" s="116">
        <v>3.72</v>
      </c>
      <c r="G48" s="117">
        <v>279.27999999999997</v>
      </c>
    </row>
    <row r="49" spans="1:7" ht="12" customHeight="1" x14ac:dyDescent="0.2">
      <c r="A49" s="112">
        <v>415003200</v>
      </c>
      <c r="B49" s="113" t="s">
        <v>143</v>
      </c>
      <c r="C49" s="112" t="s">
        <v>56</v>
      </c>
      <c r="D49" s="114"/>
      <c r="E49" s="115" t="s">
        <v>116</v>
      </c>
      <c r="F49" s="116">
        <v>2.2799999999999998</v>
      </c>
      <c r="G49" s="117">
        <v>171.36</v>
      </c>
    </row>
    <row r="50" spans="1:7" ht="12" customHeight="1" x14ac:dyDescent="0.2">
      <c r="A50" s="112">
        <v>415002600</v>
      </c>
      <c r="B50" s="113" t="s">
        <v>95</v>
      </c>
      <c r="C50" s="112" t="s">
        <v>42</v>
      </c>
      <c r="D50" s="114"/>
      <c r="E50" s="115" t="s">
        <v>139</v>
      </c>
      <c r="F50" s="116">
        <v>1.01</v>
      </c>
      <c r="G50" s="117">
        <v>75.790000000000006</v>
      </c>
    </row>
    <row r="51" spans="1:7" ht="12" customHeight="1" x14ac:dyDescent="0.2">
      <c r="A51" s="112">
        <v>415000100</v>
      </c>
      <c r="B51" s="113" t="s">
        <v>58</v>
      </c>
      <c r="C51" s="112" t="s">
        <v>123</v>
      </c>
      <c r="D51" s="114"/>
      <c r="E51" s="115" t="s">
        <v>139</v>
      </c>
      <c r="F51" s="116">
        <v>3.15</v>
      </c>
      <c r="G51" s="117">
        <v>236.44</v>
      </c>
    </row>
    <row r="52" spans="1:7" ht="12" customHeight="1" x14ac:dyDescent="0.2">
      <c r="A52" s="112">
        <v>415000600</v>
      </c>
      <c r="B52" s="113" t="s">
        <v>59</v>
      </c>
      <c r="C52" s="112" t="s">
        <v>51</v>
      </c>
      <c r="D52" s="114"/>
      <c r="E52" s="115" t="s">
        <v>139</v>
      </c>
      <c r="F52" s="116">
        <v>6.7</v>
      </c>
      <c r="G52" s="117">
        <v>502.66</v>
      </c>
    </row>
    <row r="53" spans="1:7" ht="12" customHeight="1" x14ac:dyDescent="0.2">
      <c r="A53" s="112">
        <v>415001700</v>
      </c>
      <c r="B53" s="113" t="s">
        <v>62</v>
      </c>
      <c r="C53" s="112" t="s">
        <v>51</v>
      </c>
      <c r="D53" s="114"/>
      <c r="E53" s="115" t="s">
        <v>139</v>
      </c>
      <c r="F53" s="116">
        <v>10.11</v>
      </c>
      <c r="G53" s="117">
        <v>758.17</v>
      </c>
    </row>
    <row r="54" spans="1:7" s="123" customFormat="1" ht="12" customHeight="1" x14ac:dyDescent="0.2">
      <c r="A54" s="118">
        <v>415000900</v>
      </c>
      <c r="B54" s="119" t="s">
        <v>60</v>
      </c>
      <c r="C54" s="118" t="s">
        <v>144</v>
      </c>
      <c r="D54" s="120"/>
      <c r="E54" s="121" t="s">
        <v>139</v>
      </c>
      <c r="F54" s="116">
        <v>0.71</v>
      </c>
      <c r="G54" s="122">
        <v>53.55</v>
      </c>
    </row>
    <row r="55" spans="1:7" ht="12" customHeight="1" thickBot="1" x14ac:dyDescent="0.25">
      <c r="A55" s="131">
        <v>415002000</v>
      </c>
      <c r="B55" s="132" t="s">
        <v>63</v>
      </c>
      <c r="C55" s="131" t="s">
        <v>144</v>
      </c>
      <c r="D55" s="133"/>
      <c r="E55" s="134" t="s">
        <v>139</v>
      </c>
      <c r="F55" s="135">
        <v>0.82</v>
      </c>
      <c r="G55" s="136">
        <v>61.2</v>
      </c>
    </row>
  </sheetData>
  <mergeCells count="1">
    <mergeCell ref="A7:G7"/>
  </mergeCells>
  <conditionalFormatting sqref="A7">
    <cfRule type="duplicateValues" dxfId="34" priority="35"/>
  </conditionalFormatting>
  <conditionalFormatting sqref="A24">
    <cfRule type="duplicateValues" dxfId="33" priority="34"/>
  </conditionalFormatting>
  <conditionalFormatting sqref="A7">
    <cfRule type="duplicateValues" dxfId="32" priority="33"/>
  </conditionalFormatting>
  <conditionalFormatting sqref="A7">
    <cfRule type="duplicateValues" dxfId="31" priority="32"/>
  </conditionalFormatting>
  <conditionalFormatting sqref="A7">
    <cfRule type="duplicateValues" dxfId="30" priority="31"/>
  </conditionalFormatting>
  <conditionalFormatting sqref="A25:A28">
    <cfRule type="duplicateValues" dxfId="29" priority="30"/>
  </conditionalFormatting>
  <conditionalFormatting sqref="A30:A42">
    <cfRule type="duplicateValues" dxfId="28" priority="29"/>
  </conditionalFormatting>
  <conditionalFormatting sqref="A29">
    <cfRule type="duplicateValues" dxfId="27" priority="28"/>
  </conditionalFormatting>
  <conditionalFormatting sqref="A29">
    <cfRule type="duplicateValues" dxfId="26" priority="27"/>
  </conditionalFormatting>
  <conditionalFormatting sqref="A29">
    <cfRule type="duplicateValues" dxfId="25" priority="26"/>
  </conditionalFormatting>
  <conditionalFormatting sqref="A29">
    <cfRule type="duplicateValues" dxfId="24" priority="25"/>
  </conditionalFormatting>
  <conditionalFormatting sqref="A29">
    <cfRule type="duplicateValues" dxfId="23" priority="24"/>
  </conditionalFormatting>
  <conditionalFormatting sqref="A29">
    <cfRule type="duplicateValues" dxfId="22" priority="23"/>
  </conditionalFormatting>
  <conditionalFormatting sqref="A29">
    <cfRule type="duplicateValues" dxfId="21" priority="22"/>
  </conditionalFormatting>
  <conditionalFormatting sqref="A43:A55">
    <cfRule type="duplicateValues" dxfId="20" priority="21"/>
  </conditionalFormatting>
  <conditionalFormatting sqref="A43:A55">
    <cfRule type="duplicateValues" dxfId="19" priority="20"/>
  </conditionalFormatting>
  <conditionalFormatting sqref="A8">
    <cfRule type="duplicateValues" dxfId="18" priority="19"/>
  </conditionalFormatting>
  <conditionalFormatting sqref="A8">
    <cfRule type="duplicateValues" dxfId="17" priority="18"/>
  </conditionalFormatting>
  <conditionalFormatting sqref="A8">
    <cfRule type="duplicateValues" dxfId="16" priority="17"/>
  </conditionalFormatting>
  <conditionalFormatting sqref="A8">
    <cfRule type="duplicateValues" dxfId="15" priority="16"/>
  </conditionalFormatting>
  <conditionalFormatting sqref="A8">
    <cfRule type="duplicateValues" dxfId="14" priority="15"/>
  </conditionalFormatting>
  <conditionalFormatting sqref="A8">
    <cfRule type="duplicateValues" dxfId="13" priority="14"/>
  </conditionalFormatting>
  <conditionalFormatting sqref="A9">
    <cfRule type="duplicateValues" dxfId="12" priority="13"/>
  </conditionalFormatting>
  <conditionalFormatting sqref="A9">
    <cfRule type="duplicateValues" dxfId="11" priority="12"/>
  </conditionalFormatting>
  <conditionalFormatting sqref="A9">
    <cfRule type="duplicateValues" dxfId="10" priority="11"/>
  </conditionalFormatting>
  <conditionalFormatting sqref="A9">
    <cfRule type="duplicateValues" dxfId="9" priority="10"/>
  </conditionalFormatting>
  <conditionalFormatting sqref="A9">
    <cfRule type="duplicateValues" dxfId="8" priority="9"/>
  </conditionalFormatting>
  <conditionalFormatting sqref="A9">
    <cfRule type="duplicateValues" dxfId="7" priority="8"/>
  </conditionalFormatting>
  <conditionalFormatting sqref="A9">
    <cfRule type="duplicateValues" dxfId="6" priority="7"/>
  </conditionalFormatting>
  <conditionalFormatting sqref="A9">
    <cfRule type="duplicateValues" dxfId="5" priority="6"/>
  </conditionalFormatting>
  <conditionalFormatting sqref="A56:A1048576 A10:A28 A7:A8">
    <cfRule type="duplicateValues" dxfId="4" priority="5"/>
  </conditionalFormatting>
  <conditionalFormatting sqref="A56:A1048576 A10:A42 A7:A8">
    <cfRule type="duplicateValues" dxfId="3" priority="4"/>
  </conditionalFormatting>
  <conditionalFormatting sqref="A10:A23">
    <cfRule type="duplicateValues" dxfId="2" priority="3"/>
  </conditionalFormatting>
  <conditionalFormatting sqref="A1:A4">
    <cfRule type="duplicateValues" dxfId="1" priority="2"/>
  </conditionalFormatting>
  <conditionalFormatting sqref="A1:A4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DDD2DF452B7C438D4ABC5DAF20D396" ma:contentTypeVersion="0" ma:contentTypeDescription="Создание документа." ma:contentTypeScope="" ma:versionID="1e757a85712f4553bb9ee1648aa99a1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D616BE-530F-432F-9646-8748E45D3E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5A6418-5349-4ED9-92A4-E3FA92D1122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C829C8B-5C1D-4990-84DA-CB8247BC9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15</vt:i4>
      </vt:variant>
    </vt:vector>
  </HeadingPairs>
  <TitlesOfParts>
    <vt:vector size="21" baseType="lpstr">
      <vt:lpstr>РАСЧЕТ</vt:lpstr>
      <vt:lpstr>Спецификация</vt:lpstr>
      <vt:lpstr>ФОТО ВИДОВ ЗАПОЛНЕНИЯ</vt:lpstr>
      <vt:lpstr>Прайс-лист</vt:lpstr>
      <vt:lpstr>Рекомендованные комплекты</vt:lpstr>
      <vt:lpstr>Компл. SG.SGN_ССБЕ (РФ)</vt:lpstr>
      <vt:lpstr>выбор</vt:lpstr>
      <vt:lpstr>выбор2</vt:lpstr>
      <vt:lpstr>выбор3</vt:lpstr>
      <vt:lpstr>выбор4</vt:lpstr>
      <vt:lpstr>выбор5</vt:lpstr>
      <vt:lpstr>выбор6</vt:lpstr>
      <vt:lpstr>РАСЧЕТ!Область_печати</vt:lpstr>
      <vt:lpstr>'Рекомендованные комплекты'!Область_печати</vt:lpstr>
      <vt:lpstr>Спецификация!Область_печати</vt:lpstr>
      <vt:lpstr>'ФОТО ВИДОВ ЗАПОЛНЕНИЯ'!Область_печати</vt:lpstr>
      <vt:lpstr>Фотоальбом</vt:lpstr>
      <vt:lpstr>фотоальбом2</vt:lpstr>
      <vt:lpstr>фотоальбом3</vt:lpstr>
      <vt:lpstr>фотоальбом5</vt:lpstr>
      <vt:lpstr>фотоальбом6</vt:lpstr>
    </vt:vector>
  </TitlesOfParts>
  <Company>BTC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Nickolas</dc:creator>
  <cp:lastModifiedBy>User</cp:lastModifiedBy>
  <cp:lastPrinted>2018-08-15T12:39:29Z</cp:lastPrinted>
  <dcterms:created xsi:type="dcterms:W3CDTF">2006-10-08T09:13:50Z</dcterms:created>
  <dcterms:modified xsi:type="dcterms:W3CDTF">2018-08-30T12:01:37Z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0x01010016DDD2DF452B7C438D4ABC5DAF20D396</vt:lpwstr>
  </property>
</Properties>
</file>